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ANALYSIS" sheetId="1" r:id="rId1"/>
    <sheet name="&lt;CURRENT&gt;2" sheetId="2" r:id="rId2"/>
    <sheet name="&lt;CURRENT&gt;1" sheetId="3" r:id="rId3"/>
    <sheet name="Current" sheetId="4" r:id="rId4"/>
  </sheets>
  <definedNames>
    <definedName name="__123Graph_A">'ANALYSIS'!$A$253:$A$264</definedName>
    <definedName name="__123Graph_A_CURRENT_1">'ANALYSIS'!$A$253:$A$264</definedName>
    <definedName name="__123Graph_A_CURRENT_2">'ANALYSIS'!$A$253:$A$264</definedName>
    <definedName name="__123Graph_B">'ANALYSIS'!$C$253:$C$264</definedName>
    <definedName name="__123Graph_B_CURRENT_1">'ANALYSIS'!$C$253:$C$264</definedName>
    <definedName name="__123Graph_B_CURRENT_2">'ANALYSIS'!$C$253:$C$264</definedName>
    <definedName name="__123Graph_C">'ANALYSIS'!$B$253:$B$264</definedName>
    <definedName name="__123Graph_C_CURRENT_1">'ANALYSIS'!$B$253:$B$264</definedName>
    <definedName name="__123Graph_C_CURRENT_2">'ANALYSIS'!$B$253:$B$264</definedName>
    <definedName name="__123Graph_D">'ANALYSIS'!$D$253:$D$264</definedName>
    <definedName name="__123Graph_D_CURRENT_1">'ANALYSIS'!$D$253:$D$264</definedName>
    <definedName name="__123Graph_D_CURRENT_2">'ANALYSIS'!$D$253:$D$264</definedName>
    <definedName name="__123Graph_E">'ANALYSIS'!$F$253:$F$264</definedName>
    <definedName name="__123Graph_E_CURRENT_1">'ANALYSIS'!$F$253:$F$264</definedName>
    <definedName name="__123Graph_E_CURRENT_2">'ANALYSIS'!$F$253:$F$264</definedName>
    <definedName name="_a">'ANALYSIS'!$A$234</definedName>
    <definedName name="_c">'ANALYSIS'!$F$234</definedName>
    <definedName name="_Dist_Values">'ANALYSIS'!$M$39:$U$139</definedName>
    <definedName name="_l">'ANALYSIS'!$B$234</definedName>
    <definedName name="_r">'ANALYSIS'!$D$234</definedName>
    <definedName name="_Regression_Int">1</definedName>
    <definedName name="_s">'ANALYSIS'!$H$235</definedName>
    <definedName name="ANAL2">'ANALYSIS'!$T$1:$Y$60</definedName>
    <definedName name="ANALYSIS">'ANALYSIS'!$M$1:$R$57</definedName>
    <definedName name="COST">'ANALYSIS'!$A$98:$D$157</definedName>
    <definedName name="EXPORT">'ANALYSIS'!$A$312:$G$339</definedName>
    <definedName name="FERC">'ANALYSIS'!$AH$1:$AO$54</definedName>
    <definedName name="LEASE">'ANALYSIS'!$AA$1:$AE$29</definedName>
    <definedName name="Print_Area_MI">'ANALYSIS'!$A$98:$D$157</definedName>
  </definedNames>
  <calcPr fullCalcOnLoad="1"/>
</workbook>
</file>

<file path=xl/sharedStrings.xml><?xml version="1.0" encoding="utf-8"?>
<sst xmlns="http://schemas.openxmlformats.org/spreadsheetml/2006/main" count="850" uniqueCount="450">
  <si>
    <t>Site/Client Name:</t>
  </si>
  <si>
    <t>ABC Company</t>
  </si>
  <si>
    <t>Goes into Cost Analysis &amp; First / Five Year spreadsheet only.</t>
  </si>
  <si>
    <t xml:space="preserve">              ============</t>
  </si>
  <si>
    <t>=</t>
  </si>
  <si>
    <t>====================</t>
  </si>
  <si>
    <t xml:space="preserve">             =========</t>
  </si>
  <si>
    <t>==========</t>
  </si>
  <si>
    <t xml:space="preserve">     =======</t>
  </si>
  <si>
    <t xml:space="preserve">    </t>
  </si>
  <si>
    <t xml:space="preserve"> </t>
  </si>
  <si>
    <t xml:space="preserve">       F I R S T  Y E A R</t>
  </si>
  <si>
    <t xml:space="preserve">          F I V E  Y E A R</t>
  </si>
  <si>
    <t xml:space="preserve">    L E A S E  P U R C H A S E</t>
  </si>
  <si>
    <t>Site Street Address:</t>
  </si>
  <si>
    <t>Any Street</t>
  </si>
  <si>
    <t>Actual street address. FERC Requirement.</t>
  </si>
  <si>
    <t xml:space="preserve">               C O S T / S A V I N G S  C A L C U L A T I O N S</t>
  </si>
  <si>
    <t xml:space="preserve">                  P R O J E C T E D  C O S T / S A V I N G S</t>
  </si>
  <si>
    <t xml:space="preserve">      C A S H  F L O W  C A L C U L A T I O N S </t>
  </si>
  <si>
    <t>City, State &amp; ZIP:</t>
  </si>
  <si>
    <t>Any Town USA</t>
  </si>
  <si>
    <t>Include City, State &amp; ZIP.</t>
  </si>
  <si>
    <t>Owner Name:</t>
  </si>
  <si>
    <t>Actual Owner of Record. FERC Requirement.</t>
  </si>
  <si>
    <t>CLIENT NAME:</t>
  </si>
  <si>
    <t xml:space="preserve">     AMOUNT FINANCED:</t>
  </si>
  <si>
    <t>Application Date:</t>
  </si>
  <si>
    <t>Owner Street Address:</t>
  </si>
  <si>
    <t>Same</t>
  </si>
  <si>
    <t>SITE ADDRESS:</t>
  </si>
  <si>
    <t xml:space="preserve">     CURRENT MONTHLY UTILITY COSTS WITHOUT COGEN:</t>
  </si>
  <si>
    <t>Office of the Secretary</t>
  </si>
  <si>
    <t>Federal Energy Regulatory Commission</t>
  </si>
  <si>
    <t xml:space="preserve">     ESTIMATED MONTHLY SAVINGS WITH COGEN:</t>
  </si>
  <si>
    <t>825 N. Capitol Street N.E.</t>
  </si>
  <si>
    <t>Date of Analysis:</t>
  </si>
  <si>
    <t>PROPOSED EQUIPMENT:</t>
  </si>
  <si>
    <t>One (1) Model 1063 Jenbacher Engine Generator</t>
  </si>
  <si>
    <t>Washington, D.C. 20426</t>
  </si>
  <si>
    <t>With Hot Water HX and 270 Ton Absorber Chiller</t>
  </si>
  <si>
    <t xml:space="preserve">     ESTIMATED REMAINING UTILITY COSTS WITH COGEN:</t>
  </si>
  <si>
    <t>Proj. On Line Date:</t>
  </si>
  <si>
    <t>Goes into FERC only.</t>
  </si>
  <si>
    <t>PREPARED:</t>
  </si>
  <si>
    <t>YEAR</t>
  </si>
  <si>
    <t>ONE</t>
  </si>
  <si>
    <t>TWO</t>
  </si>
  <si>
    <t>THREE</t>
  </si>
  <si>
    <t>FOUR</t>
  </si>
  <si>
    <t>FIVE</t>
  </si>
  <si>
    <t xml:space="preserve">     ARBITRARY ANNUAL LEASE PERCENTAGE RATE:</t>
  </si>
  <si>
    <t>RE: Notice of Self Certification for Qualified Cogeneration Facility.</t>
  </si>
  <si>
    <t>DATA YEAR GROUP</t>
  </si>
  <si>
    <t>GAS IN</t>
  </si>
  <si>
    <t>DOLLAR</t>
  </si>
  <si>
    <t>CURRENT GAS CONSUMPTION:</t>
  </si>
  <si>
    <t>CURRENT ELECTRIC CONSUMPTION:</t>
  </si>
  <si>
    <t>_</t>
  </si>
  <si>
    <t>THERMS</t>
  </si>
  <si>
    <t>AMOUNT</t>
  </si>
  <si>
    <t xml:space="preserve">     LENGHT OF LEASE IN MONTHS:</t>
  </si>
  <si>
    <t xml:space="preserve">      1.  Owner and Operator of the Qualified Facility:</t>
  </si>
  <si>
    <t>JANUARY</t>
  </si>
  <si>
    <t>Enter data month by month or annual into any block.</t>
  </si>
  <si>
    <t>Annual Gas Expense</t>
  </si>
  <si>
    <t>Annual Elec Expense</t>
  </si>
  <si>
    <t>ANNUAL SAVINGS</t>
  </si>
  <si>
    <t>FEBRUARY</t>
  </si>
  <si>
    <t>Current Gas Rate</t>
  </si>
  <si>
    <t>$/therm</t>
  </si>
  <si>
    <t>Current KWH Rate</t>
  </si>
  <si>
    <t xml:space="preserve">     ESTIMATED MONTHLY LEASE PAYMENT:</t>
  </si>
  <si>
    <t>MARCH</t>
  </si>
  <si>
    <t>Annual Gas Usage</t>
  </si>
  <si>
    <t>therms/yr</t>
  </si>
  <si>
    <t xml:space="preserve">Annual KWH Used </t>
  </si>
  <si>
    <t>ELECTRIC</t>
  </si>
  <si>
    <t>APRIL</t>
  </si>
  <si>
    <t>Avail. Hot Water Load</t>
  </si>
  <si>
    <t>Annual Demand Expense</t>
  </si>
  <si>
    <t>GAS</t>
  </si>
  <si>
    <t xml:space="preserve">     MONTHLY SAVINGS AFTER LEASE PAYMENT:</t>
  </si>
  <si>
    <t xml:space="preserve">      2.  Description of the Qualified Facility:</t>
  </si>
  <si>
    <t>MAY</t>
  </si>
  <si>
    <t>Hot Water Heater Input</t>
  </si>
  <si>
    <t>Average Demand Rate</t>
  </si>
  <si>
    <t>DEPRECIATION **</t>
  </si>
  <si>
    <t>JUNE</t>
  </si>
  <si>
    <t>Cost of Hot Water Gas</t>
  </si>
  <si>
    <t>Annual Demand KW Used</t>
  </si>
  <si>
    <t xml:space="preserve">     TOTAL AMOUNT PAID OVER LEASE PERIOD:</t>
  </si>
  <si>
    <t xml:space="preserve">          a.  Facility uses a reciprocating engine with appropriate</t>
  </si>
  <si>
    <t>JULY</t>
  </si>
  <si>
    <t xml:space="preserve">              heat recovery equipment (Topping Cycle)</t>
  </si>
  <si>
    <t xml:space="preserve">     heat recovery equipment (Topping Cycle).</t>
  </si>
  <si>
    <t>AUGUST</t>
  </si>
  <si>
    <t>COGENERATION GAS SAVINGS:</t>
  </si>
  <si>
    <t>COGENERATION KILOWATT PRODUCTION:</t>
  </si>
  <si>
    <t>GROSS SAVINGS</t>
  </si>
  <si>
    <t xml:space="preserve">     TOTAL PROJECTED SAVINGS DURING LEASE PERIOD:</t>
  </si>
  <si>
    <t xml:space="preserve">          b.  Electrical Output</t>
  </si>
  <si>
    <t xml:space="preserve"> b.  Electrical Output Capacity in Kilowatts:</t>
  </si>
  <si>
    <t>SEPTEMBER</t>
  </si>
  <si>
    <t xml:space="preserve">          c.  Useful Thermal Energy Output in BTU/HR:</t>
  </si>
  <si>
    <t>OCTOBER</t>
  </si>
  <si>
    <t>Heater Efficiency</t>
  </si>
  <si>
    <t>Annual Run Hours</t>
  </si>
  <si>
    <t xml:space="preserve">     TOTAL PROJECTED SAVINGS OVER 10 YEARS</t>
  </si>
  <si>
    <t xml:space="preserve"> d.  Fuel Input in SCFH (at 1020 BTU/SCF HHV):</t>
  </si>
  <si>
    <t>NOVEMBER</t>
  </si>
  <si>
    <t>Heater Offset Required</t>
  </si>
  <si>
    <t>Elec Output (KW)</t>
  </si>
  <si>
    <t>OPERATING EXPENSES</t>
  </si>
  <si>
    <t xml:space="preserve"> e.  Facility will be located on site at:</t>
  </si>
  <si>
    <t>DECEMBER</t>
  </si>
  <si>
    <t>Added Thermal Load</t>
  </si>
  <si>
    <t>Annual KWH Generated</t>
  </si>
  <si>
    <t>Total</t>
  </si>
  <si>
    <t>COGEN Thermal Output</t>
  </si>
  <si>
    <t>therms/hr</t>
  </si>
  <si>
    <t>Current Rate/KWH</t>
  </si>
  <si>
    <t>COGENERATION GAS</t>
  </si>
  <si>
    <t>Thermal Run Hrs Rqd.</t>
  </si>
  <si>
    <t>hours/yr</t>
  </si>
  <si>
    <t>Total KWH Overgenerated</t>
  </si>
  <si>
    <t>MAINTENANCE</t>
  </si>
  <si>
    <t xml:space="preserve"> f.  Projected maximum on line annual run hours are:</t>
  </si>
  <si>
    <t>ELEC IN</t>
  </si>
  <si>
    <t>Max. Avail. Run Hours</t>
  </si>
  <si>
    <t>Utility Sell Back Rate</t>
  </si>
  <si>
    <t xml:space="preserve"> g.  Annual Effeciency Calculations (MBTU):</t>
  </si>
  <si>
    <t>KWH</t>
  </si>
  <si>
    <t>Gas Offset With Cogen</t>
  </si>
  <si>
    <t>Value of KWH Produced</t>
  </si>
  <si>
    <t>True Gas Offset Value</t>
  </si>
  <si>
    <t>TOTAL EXPENSE</t>
  </si>
  <si>
    <t xml:space="preserve">     Total Fuel in LHV:</t>
  </si>
  <si>
    <t>Verify rate for all hourly periods KWH are billed for.</t>
  </si>
  <si>
    <t xml:space="preserve">     Useful Power Output:</t>
  </si>
  <si>
    <t>COGENERATION OPERATIONAL DATA:</t>
  </si>
  <si>
    <t>COGENERATION DEMAND PRODUCTION:</t>
  </si>
  <si>
    <t xml:space="preserve">     Estimated Useful Thermal Energy Output:</t>
  </si>
  <si>
    <t>NET ANNUAL SAVINGS</t>
  </si>
  <si>
    <t xml:space="preserve">     PURPA Effeciency:</t>
  </si>
  <si>
    <t>Annual Demand Generated</t>
  </si>
  <si>
    <t>COGEN Gas Input</t>
  </si>
  <si>
    <t>Current Demand Rate</t>
  </si>
  <si>
    <t xml:space="preserve">     </t>
  </si>
  <si>
    <t xml:space="preserve">      3.  Primary Energy Source:</t>
  </si>
  <si>
    <t>Annual COGEN Gas Usage</t>
  </si>
  <si>
    <t>Est. 100% Demand Credit</t>
  </si>
  <si>
    <t>ACCUMULATED</t>
  </si>
  <si>
    <t xml:space="preserve">      4.  Primary Energy Supplied by: </t>
  </si>
  <si>
    <t>Est COGEN Fuel Rate</t>
  </si>
  <si>
    <t>Standby Charge/KW</t>
  </si>
  <si>
    <t>SAVINGS</t>
  </si>
  <si>
    <t xml:space="preserve">      5.  Percentage of Utility Ownership:</t>
  </si>
  <si>
    <t>Est COGEN Fuel Cost</t>
  </si>
  <si>
    <t>Annual Standby Charge</t>
  </si>
  <si>
    <t xml:space="preserve">      6.  Expected Date of Operation:</t>
  </si>
  <si>
    <t>Demand Credit Available</t>
  </si>
  <si>
    <t xml:space="preserve">        </t>
  </si>
  <si>
    <t>CREDITS &amp; REBATES:</t>
  </si>
  <si>
    <t>INSTALLATION COST (LESS REBATE)</t>
  </si>
  <si>
    <t>Enclosed is the original application and 14 copies. Please return one copy</t>
  </si>
  <si>
    <t>FIRST YEAR COST/SAVINGS SUMMARY:</t>
  </si>
  <si>
    <t>THREE YEAR MAINTENANCE COST</t>
  </si>
  <si>
    <t>stamped with the QF Docket Number and the Date of Filing to the owner.</t>
  </si>
  <si>
    <t xml:space="preserve">Displaced KWH </t>
  </si>
  <si>
    <t xml:space="preserve">Displaced Demand </t>
  </si>
  <si>
    <t>KWH Savings</t>
  </si>
  <si>
    <t>TOTAL PROJECT COST</t>
  </si>
  <si>
    <t>BILLED</t>
  </si>
  <si>
    <t>Project Rebate</t>
  </si>
  <si>
    <t>Demand Savings</t>
  </si>
  <si>
    <t>Sincerely,</t>
  </si>
  <si>
    <t>DEMAND</t>
  </si>
  <si>
    <t>Gas Cost Eliminated</t>
  </si>
  <si>
    <t xml:space="preserve">     DEPRECIATION TAX BRACKET</t>
  </si>
  <si>
    <t>TOTAL CREDITS/REBATES</t>
  </si>
  <si>
    <t>Cogen Fuel Cost</t>
  </si>
  <si>
    <t>Verify rate for all hourly periods Demand is billed for.</t>
  </si>
  <si>
    <t>Annual Maint Cost</t>
  </si>
  <si>
    <t xml:space="preserve">     ESTIMATED INFLATION RATE:</t>
  </si>
  <si>
    <t>F.E.R.C. Efficiency</t>
  </si>
  <si>
    <t>Credits/Rebates</t>
  </si>
  <si>
    <t xml:space="preserve">     FIRST YEAR MONTHLY SAVINGS:</t>
  </si>
  <si>
    <t>for:</t>
  </si>
  <si>
    <t xml:space="preserve">GENERATED SAVINGS </t>
  </si>
  <si>
    <t xml:space="preserve">     RETURN ON INVESTMENT:</t>
  </si>
  <si>
    <t>Proposal is offered based on data supplied by the client.</t>
  </si>
  <si>
    <t xml:space="preserve">     PAYBACK PERIOD (YEARS):</t>
  </si>
  <si>
    <t>Is this Cost/Therm OK?</t>
  </si>
  <si>
    <t>Divides total therms used by dollar amount entered.</t>
  </si>
  <si>
    <t>Is this Cost/KWH OK?</t>
  </si>
  <si>
    <t>Divides total kilowatts used by dollar amount entered.</t>
  </si>
  <si>
    <t>Is this Cost/Demand OK?</t>
  </si>
  <si>
    <t>Divides total Demand used by dollar amount entered.</t>
  </si>
  <si>
    <t>Is Site Time of Use Metered?</t>
  </si>
  <si>
    <t>Yes</t>
  </si>
  <si>
    <t>Enter "Yes" if site is TOU metered.  "No" if it is NOT TOU.</t>
  </si>
  <si>
    <t>Will Run Time be in all periods?</t>
  </si>
  <si>
    <t>Enter "Yes" ONLY if run time WILL be during Metered Periods.</t>
  </si>
  <si>
    <t>Demand Standby Charge/KW</t>
  </si>
  <si>
    <t>Enter the stand by charge amount for all run periods.</t>
  </si>
  <si>
    <t>Enter KWH Sell Back Rate ONLY IF CONTRACTING FOR SELL BACK.</t>
  </si>
  <si>
    <t>Thermal Load Factor</t>
  </si>
  <si>
    <t>What gas costs can cogen hot water offset?</t>
  </si>
  <si>
    <t>Present Efficiency</t>
  </si>
  <si>
    <t xml:space="preserve">Existing boiler/heater effeciency NOW. NOT from the data plate.  </t>
  </si>
  <si>
    <t>Closed Thermal Load Percentage</t>
  </si>
  <si>
    <t>"After Hours" hot water USE.  Enter "0" if open 8760 hours.</t>
  </si>
  <si>
    <t>Closed Electric Load Percentage</t>
  </si>
  <si>
    <t>A</t>
  </si>
  <si>
    <t>"After Hours" electric USE.  Enter "0" if open 8760 hours.</t>
  </si>
  <si>
    <t>A/C KWH Displaced per year</t>
  </si>
  <si>
    <t>Obtain from I.P.I. ONLY.  Enter "0" otherwise.</t>
  </si>
  <si>
    <t>A/C Demand Displaced per year</t>
  </si>
  <si>
    <t>Useful Thermal Increase per year</t>
  </si>
  <si>
    <t>Maximum hours open per year</t>
  </si>
  <si>
    <t>Hours per year open.  Analysis sees this as "Available Run Hours".</t>
  </si>
  <si>
    <t>Average therms / open hour</t>
  </si>
  <si>
    <t>Currently.  Used for suggested sizing.</t>
  </si>
  <si>
    <t>Average kwh / open hour</t>
  </si>
  <si>
    <t>Average peak demand / month</t>
  </si>
  <si>
    <t>How many hours a year can the unit(s) logically generate?  Overgeneration beyond these hours can not be used for credit!</t>
  </si>
  <si>
    <t>Thermal Load suggests a ...........</t>
  </si>
  <si>
    <t>Computed from input data.</t>
  </si>
  <si>
    <t>Electric Load suggests a ............</t>
  </si>
  <si>
    <t>KW Output Setting</t>
  </si>
  <si>
    <t>Use Spec Sheet! Review Synchronous loading!</t>
  </si>
  <si>
    <t>Cogen Thermal Input</t>
  </si>
  <si>
    <t>Use Spec Sheet! Review Thermal Low &amp; High Setting.</t>
  </si>
  <si>
    <t>Cogen Thermal Output</t>
  </si>
  <si>
    <t xml:space="preserve">Total Effeciency </t>
  </si>
  <si>
    <t>How does this match unit specs?</t>
  </si>
  <si>
    <t>Run Hrs to Meet Thermal Need</t>
  </si>
  <si>
    <t>Computed from Output and Thermal Load.</t>
  </si>
  <si>
    <t>Estimated Run Hours</t>
  </si>
  <si>
    <t>Proposed annual run hours. Review thermal and electric Peaks.</t>
  </si>
  <si>
    <t>Over/Under available run hours.  Review against FERC &amp; Payback.</t>
  </si>
  <si>
    <t>Gas Cost Eliminated is:</t>
  </si>
  <si>
    <t>Computed thermal production. Credit is ONLY taken up to 100%.</t>
  </si>
  <si>
    <t>Current KWH Consummed</t>
  </si>
  <si>
    <t>Total annual CURRENTLY used.</t>
  </si>
  <si>
    <t>Generated KWH</t>
  </si>
  <si>
    <t>What will be generated annually.  Excess is "SELL BACK".</t>
  </si>
  <si>
    <t>Over 90% effects Power Factor and may cause sell back.</t>
  </si>
  <si>
    <t>Electric Cost Eliminated is:</t>
  </si>
  <si>
    <t>Computed KWH production. Over 90% MAY result in "SELL BACK".</t>
  </si>
  <si>
    <t>FERC Percentage (42.5% MIN.)</t>
  </si>
  <si>
    <t>Are you above 42.5? If not, look at KW sizing and run hours!</t>
  </si>
  <si>
    <t>Cogen Gas Rate ($/therm)</t>
  </si>
  <si>
    <t>Annual AVERAGE cost. Obtain from the serving gas supplier.</t>
  </si>
  <si>
    <t>TAXABLE MATERIAL COSTS:</t>
  </si>
  <si>
    <t>COGENERATION UNIT:</t>
  </si>
  <si>
    <t xml:space="preserve">These are the hard equipment costs that are TAXED. </t>
  </si>
  <si>
    <t>HEAT EXCHANGERS:</t>
  </si>
  <si>
    <t>Enter all taxable costs in this section.</t>
  </si>
  <si>
    <t>GAS COMPRESSOR</t>
  </si>
  <si>
    <t>N/A</t>
  </si>
  <si>
    <t>ABSORBER CHILLER</t>
  </si>
  <si>
    <t>STORAGE TANK:</t>
  </si>
  <si>
    <t>PIPE, VALVES &amp; FITTINGS:</t>
  </si>
  <si>
    <t>EXHAUST PIPING:</t>
  </si>
  <si>
    <t>ELECTRICAL MATERIALS:</t>
  </si>
  <si>
    <t>ELECTRIC METER:</t>
  </si>
  <si>
    <t>GAS METER:</t>
  </si>
  <si>
    <t>TRANSFORMER</t>
  </si>
  <si>
    <t>DUCTWORK</t>
  </si>
  <si>
    <t>INSULATION</t>
  </si>
  <si>
    <t>TURNKEY MATERIALS</t>
  </si>
  <si>
    <t>Incl.</t>
  </si>
  <si>
    <t xml:space="preserve"> SUBTOTAL TAXABLE MATERIAL COSTS:</t>
  </si>
  <si>
    <t xml:space="preserve">      STATE TAX RATE:</t>
  </si>
  <si>
    <t>These two tax entries allow various tax rates to be applied.</t>
  </si>
  <si>
    <t xml:space="preserve">      APPLICABLE STATE TAX:</t>
  </si>
  <si>
    <t xml:space="preserve">      ADDITIONAL TAX RATE:</t>
  </si>
  <si>
    <t xml:space="preserve">      APPLICABLE ADDITIONAL TAX:</t>
  </si>
  <si>
    <t xml:space="preserve">   TOTAL TAXABLE AMOUNT:</t>
  </si>
  <si>
    <t>This is the total tax to be collected.</t>
  </si>
  <si>
    <t>This cost is NOT calculated or SHOWN elsewhere.</t>
  </si>
  <si>
    <t>ADDITIONAL INSTALLATION COSTS:</t>
  </si>
  <si>
    <t>ENGINEERING:</t>
  </si>
  <si>
    <t>These are the Hard installation costs NOT TAXED.</t>
  </si>
  <si>
    <t>LABOR:</t>
  </si>
  <si>
    <t>PERMITS:</t>
  </si>
  <si>
    <t>UTILITY/INTERCONNECTION:</t>
  </si>
  <si>
    <t>SHIPPING:</t>
  </si>
  <si>
    <t>RIGGING:</t>
  </si>
  <si>
    <t>TURNKEY INSTALLATION</t>
  </si>
  <si>
    <t>MISCELLANEOUS</t>
  </si>
  <si>
    <t xml:space="preserve"> SUBTOTAL ADDITIONAL COSTS:</t>
  </si>
  <si>
    <t>Total Cost</t>
  </si>
  <si>
    <t>UTILITY REBATE/CREDIT AMOUNT:</t>
  </si>
  <si>
    <t>Enter amount of Credit or Rebate to be paid.</t>
  </si>
  <si>
    <t>Enter annual cost for however many units are installed.</t>
  </si>
  <si>
    <t>TOTAL PROJECT COST:</t>
  </si>
  <si>
    <t>Total Installation Cost shown on Analysis Sheets.</t>
  </si>
  <si>
    <t>PROJECTED PAYBACK (YEARS):</t>
  </si>
  <si>
    <t>Simple Payback</t>
  </si>
  <si>
    <t>LEASE PERCENTAGE RATE:</t>
  </si>
  <si>
    <t>Percentage rate client is expected to be at.</t>
  </si>
  <si>
    <t>LEASE TERM IN MONTHS:</t>
  </si>
  <si>
    <t>Number of months lease is expected to run.</t>
  </si>
  <si>
    <t>LEASE PAYMENT:</t>
  </si>
  <si>
    <t xml:space="preserve">Computed lease payment on Project Cost. </t>
  </si>
  <si>
    <t>DEPRECIATION TAX BRACKET:</t>
  </si>
  <si>
    <t>Tax bracket used for allowable Depreciation.</t>
  </si>
  <si>
    <t>Monthly savings WITHOUT Dep.:</t>
  </si>
  <si>
    <t>Monthly savings calculated without Depreciation.</t>
  </si>
  <si>
    <t>Over/Under lease payment?</t>
  </si>
  <si>
    <t>Do the "Savings" exceed costs?</t>
  </si>
  <si>
    <t>Monthly Savings WITH Dep:</t>
  </si>
  <si>
    <t>Monthly savings calculated with Depreciation.</t>
  </si>
  <si>
    <t>PRINT DEPRECIATION? (YES/NO):</t>
  </si>
  <si>
    <t>Do you want the Depreciation taken and shown when printed?</t>
  </si>
  <si>
    <t>F.E.R.C. APPLICATION LETTER DATA:</t>
  </si>
  <si>
    <t xml:space="preserve">LHV in BTU/CuFt </t>
  </si>
  <si>
    <t>Low Heat Value as supplied by the local Gas Supplier.</t>
  </si>
  <si>
    <t>Type of Fuel</t>
  </si>
  <si>
    <t>Natural Gas</t>
  </si>
  <si>
    <t>Natural Gas, LPG, etc.</t>
  </si>
  <si>
    <t>% of Utility Ownership</t>
  </si>
  <si>
    <t>Normally none.  NEVER over 10%.</t>
  </si>
  <si>
    <t xml:space="preserve">Fuel Supplier </t>
  </si>
  <si>
    <t>Type full company name. It will appear in the FERC Letter.</t>
  </si>
  <si>
    <t xml:space="preserve">    To PRINT the Sections:  Make sure the printer is loaded and set to</t>
  </si>
  <si>
    <t xml:space="preserve">     the top of the form.  Hold down the "ALT" key and press "a" for the</t>
  </si>
  <si>
    <t xml:space="preserve">     Cogeneration Analysis; "c" for Costs Sheet; "l" for the Lease</t>
  </si>
  <si>
    <t xml:space="preserve">     Sheet.  Insert Letter Head and press "f" for FERC Letter.</t>
  </si>
  <si>
    <t xml:space="preserve">     This Feasibility Analysis Spreadsheet has INPUT BLOCKS for you </t>
  </si>
  <si>
    <t>to enter client information.  It then places that data into the</t>
  </si>
  <si>
    <t xml:space="preserve">appropriate blocks within the Feasibility Analysis Spreadsheet </t>
  </si>
  <si>
    <t>Section for review and printing.</t>
  </si>
  <si>
    <t xml:space="preserve">     Initial Analysis is normally done with First Year Cost Savings</t>
  </si>
  <si>
    <t>Calculations and Five Year Projected Cost Savings only and printed</t>
  </si>
  <si>
    <t>separately.  The balance of the Analysis requires client financial &amp;</t>
  </si>
  <si>
    <t>initial engineering input before accurate calculations can be done.</t>
  </si>
  <si>
    <t xml:space="preserve">     The F.E.R.C. Application MUST be completed when the final</t>
  </si>
  <si>
    <t>authorization for installation is obtained.  This is normally required</t>
  </si>
  <si>
    <t>by the utility to get the One Line approved.</t>
  </si>
  <si>
    <t xml:space="preserve">     The blocks within the Feasibility Analysis Spreadsheet Section </t>
  </si>
  <si>
    <t xml:space="preserve">are NOT for data entry and are protected. </t>
  </si>
  <si>
    <t xml:space="preserve">     Begin entering client information in block B1.  Utility use data</t>
  </si>
  <si>
    <t>should be entered month by month or as a single entry into any month.</t>
  </si>
  <si>
    <t>Totals will appear in the correct Analysis Section blocks.</t>
  </si>
  <si>
    <t>Continue entering data in the blocks.  Verify data with the notes</t>
  </si>
  <si>
    <t>to the right of the entry blocks.</t>
  </si>
  <si>
    <t xml:space="preserve">     Carefully review the printed information for correctness. Errors</t>
  </si>
  <si>
    <t xml:space="preserve">are normally caused by incorrect data input.  </t>
  </si>
  <si>
    <t xml:space="preserve">     SAVE THE FILE by pressing the "/" key, "F" (for File) and "A"</t>
  </si>
  <si>
    <t>(for As), type an 8 digit file name (usually referenced to the client)</t>
  </si>
  <si>
    <t xml:space="preserve">and press "Enter".  </t>
  </si>
  <si>
    <t xml:space="preserve">WARNING!  EVERYTHING ENCLOSED WITHIN THE DOUBLE LINES </t>
  </si>
  <si>
    <t>MUST NEVER BE ERASED.  ALL PROGRAM MACROS ARE HERE!</t>
  </si>
  <si>
    <t>selback*rate</t>
  </si>
  <si>
    <t>current + sellback</t>
  </si>
  <si>
    <t>DO NOT ERASE THIS DATA!!!</t>
  </si>
  <si>
    <t>Thermal Contribution</t>
  </si>
  <si>
    <t>elec rate</t>
  </si>
  <si>
    <t>Used * rate</t>
  </si>
  <si>
    <t>used/generated</t>
  </si>
  <si>
    <t>current use</t>
  </si>
  <si>
    <t>current expense</t>
  </si>
  <si>
    <t>gened - used</t>
  </si>
  <si>
    <t>overgen = 1</t>
  </si>
  <si>
    <t>Transfer Values</t>
  </si>
  <si>
    <t>analysis</t>
  </si>
  <si>
    <t>LEASE</t>
  </si>
  <si>
    <t>ferc letter</t>
  </si>
  <si>
    <t>COSTS</t>
  </si>
  <si>
    <t>And Save</t>
  </si>
  <si>
    <t>SIX</t>
  </si>
  <si>
    <t>SEVEN</t>
  </si>
  <si>
    <t>EIGHT</t>
  </si>
  <si>
    <t>NINE</t>
  </si>
  <si>
    <t>TEN</t>
  </si>
  <si>
    <t>\A</t>
  </si>
  <si>
    <t>\L</t>
  </si>
  <si>
    <t>\R</t>
  </si>
  <si>
    <t>\C</t>
  </si>
  <si>
    <t>/PBANALYSIS~S</t>
  </si>
  <si>
    <t>/PBLEASE~AASAFQ</t>
  </si>
  <si>
    <t>/PBFERC~AASAFQ</t>
  </si>
  <si>
    <t>/PBCOST~AASAFQ</t>
  </si>
  <si>
    <t>{paneloff}{windowsoff}</t>
  </si>
  <si>
    <t>{/ Print;Block}{ESC}</t>
  </si>
  <si>
    <t>{HOME}</t>
  </si>
  <si>
    <t>{/ Print;Block}</t>
  </si>
  <si>
    <t>BANAL2~AFSAFQ</t>
  </si>
  <si>
    <t>{GOTO}A281~</t>
  </si>
  <si>
    <t>{HOME}{BIGRIGHT 2}</t>
  </si>
  <si>
    <t>{ESC}{HOME}</t>
  </si>
  <si>
    <t>/EV{RIGHT 3}{END}{DOWN}{RIGHT 3}~</t>
  </si>
  <si>
    <t>{right}.{RIGHT 5}</t>
  </si>
  <si>
    <t>{BIGRIGHT 5}</t>
  </si>
  <si>
    <t>{ESC}</t>
  </si>
  <si>
    <t>A313~{home}</t>
  </si>
  <si>
    <t>{DOWN 59}{UP 3}~</t>
  </si>
  <si>
    <t>{BIGRIGHT 4}{right 5}</t>
  </si>
  <si>
    <t>{RIGHT 5}.</t>
  </si>
  <si>
    <t>/fa{esc}{esc}</t>
  </si>
  <si>
    <t>{/ Print;Align}</t>
  </si>
  <si>
    <t>.{RIGHT 5}</t>
  </si>
  <si>
    <t>{RIGHT 6}</t>
  </si>
  <si>
    <t>{PGDN 5}</t>
  </si>
  <si>
    <t>{/ Print;Go}</t>
  </si>
  <si>
    <t>{LEFT}</t>
  </si>
  <si>
    <t>{PGDN 2}</t>
  </si>
  <si>
    <t>{DOWN 7}</t>
  </si>
  <si>
    <t>{/ Print;FormFeed}</t>
  </si>
  <si>
    <t>{PGDN}</t>
  </si>
  <si>
    <t>{RIGHT}</t>
  </si>
  <si>
    <t>.{RIGHT 3}</t>
  </si>
  <si>
    <t>{DOWN 9}~</t>
  </si>
  <si>
    <t>{DOWN 19}</t>
  </si>
  <si>
    <t>{PGDN 2}{down 10}~</t>
  </si>
  <si>
    <t>{RIGHT 7}.{PGDN}</t>
  </si>
  <si>
    <t>{UP}~</t>
  </si>
  <si>
    <t>{DOWN}{RIGHT 5}</t>
  </si>
  <si>
    <t>{DOWN 38}~</t>
  </si>
  <si>
    <t>{QUIT}</t>
  </si>
  <si>
    <t>current gas</t>
  </si>
  <si>
    <t>current power</t>
  </si>
  <si>
    <t>cogen gas</t>
  </si>
  <si>
    <t>new power</t>
  </si>
  <si>
    <t>net saved</t>
  </si>
  <si>
    <t>CAL-MOLD</t>
  </si>
  <si>
    <t>ISI 120 I(2) CHILLER</t>
  </si>
  <si>
    <t>yes</t>
  </si>
  <si>
    <t>DEC. 2, 1994</t>
  </si>
  <si>
    <t xml:space="preserve"> 17425 E. RAILROAD</t>
  </si>
  <si>
    <t>CITY OF INDUSTRY, CA.</t>
  </si>
  <si>
    <t>KW'S</t>
  </si>
  <si>
    <t>CHARGE</t>
  </si>
  <si>
    <t>Present Effeciency</t>
  </si>
  <si>
    <t xml:space="preserve">        RUN HOURS EQUAL OR ARE LESS THAN HOURS OPEN.</t>
  </si>
  <si>
    <t xml:space="preserve">   NOTE - GENERATED KWH DOES NOT EXCEED 90% OF USE.</t>
  </si>
  <si>
    <t>DUMP RADIATOR:</t>
  </si>
  <si>
    <t>PUMPS (2):</t>
  </si>
  <si>
    <t>WATER FLOW METER:</t>
  </si>
  <si>
    <t>THERMAL &amp; METER SENSORS</t>
  </si>
  <si>
    <t>MISCELLANOUS:</t>
  </si>
  <si>
    <t>SALES COMMISSION:</t>
  </si>
  <si>
    <t>PROFIT MARKUP:</t>
  </si>
  <si>
    <t xml:space="preserve">  TOTAL COSTS (LESS TAXES):</t>
  </si>
  <si>
    <t>FIRST YEAR MAINTENANCE COST:</t>
  </si>
  <si>
    <t xml:space="preserve"> 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</si>
</sst>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&quot;($&quot;#,##0\)"/>
    <numFmt numFmtId="173" formatCode="mm/dd/yy"/>
    <numFmt numFmtId="174" formatCode="dd\-mmm\-yy_)"/>
    <numFmt numFmtId="175" formatCode="0_)"/>
    <numFmt numFmtId="176" formatCode="\$#,##0.000_);&quot;($&quot;#,##0.000\)"/>
    <numFmt numFmtId="177" formatCode="\$#,##0.0000_);&quot;($&quot;#,##0.0000\)"/>
    <numFmt numFmtId="178" formatCode="0.000_)"/>
    <numFmt numFmtId="179" formatCode="\$#,##0.00_);&quot;($&quot;#,##0.00\)"/>
    <numFmt numFmtId="180" formatCode="#,##0.0_);\(#,##0.0\)"/>
    <numFmt numFmtId="181" formatCode="0.0%"/>
    <numFmt numFmtId="182" formatCode="0.0_)"/>
    <numFmt numFmtId="183" formatCode="0.00_)"/>
  </numFmts>
  <fonts count="40">
    <font>
      <sz val="10"/>
      <name val="Courier New"/>
      <family val="3"/>
    </font>
    <font>
      <sz val="10"/>
      <name val="Arial"/>
      <family val="0"/>
    </font>
    <font>
      <sz val="10"/>
      <color indexed="12"/>
      <name val="Courier New"/>
      <family val="3"/>
    </font>
    <font>
      <sz val="10"/>
      <color indexed="8"/>
      <name val="Courier New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fill"/>
      <protection/>
    </xf>
    <xf numFmtId="37" fontId="0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174" fontId="0" fillId="0" borderId="0" xfId="0" applyNumberFormat="1" applyAlignment="1" applyProtection="1">
      <alignment/>
      <protection/>
    </xf>
    <xf numFmtId="174" fontId="2" fillId="0" borderId="0" xfId="0" applyNumberFormat="1" applyFont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75" fontId="0" fillId="0" borderId="0" xfId="0" applyNumberFormat="1" applyAlignment="1" applyProtection="1">
      <alignment/>
      <protection/>
    </xf>
    <xf numFmtId="175" fontId="2" fillId="0" borderId="0" xfId="0" applyNumberFormat="1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2" fontId="2" fillId="0" borderId="0" xfId="0" applyNumberFormat="1" applyFont="1" applyAlignment="1" applyProtection="1">
      <alignment/>
      <protection locked="0"/>
    </xf>
    <xf numFmtId="172" fontId="2" fillId="0" borderId="0" xfId="0" applyNumberFormat="1" applyFont="1" applyAlignment="1" applyProtection="1">
      <alignment/>
      <protection locked="0"/>
    </xf>
    <xf numFmtId="178" fontId="2" fillId="0" borderId="0" xfId="0" applyNumberFormat="1" applyFont="1" applyAlignment="1" applyProtection="1">
      <alignment/>
      <protection locked="0"/>
    </xf>
    <xf numFmtId="183" fontId="2" fillId="0" borderId="0" xfId="0" applyNumberFormat="1" applyFont="1" applyAlignment="1" applyProtection="1">
      <alignment/>
      <protection locked="0"/>
    </xf>
    <xf numFmtId="9" fontId="2" fillId="0" borderId="0" xfId="0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10" fontId="2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 locked="0"/>
    </xf>
    <xf numFmtId="173" fontId="2" fillId="0" borderId="0" xfId="0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Gas &amp; Electric Cost Analysis
Before &amp; After Cogeneration</a:t>
            </a:r>
          </a:p>
        </c:rich>
      </c:tx>
      <c:layout>
        <c:manualLayout>
          <c:xMode val="factor"/>
          <c:yMode val="factor"/>
          <c:x val="0.001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3775"/>
          <c:w val="0.943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ANALYSIS!$A$253:$A$264</c:f>
              <c:numCache>
                <c:ptCount val="12"/>
                <c:pt idx="0">
                  <c:v>32300</c:v>
                </c:pt>
                <c:pt idx="1">
                  <c:v>34200</c:v>
                </c:pt>
                <c:pt idx="2">
                  <c:v>33725</c:v>
                </c:pt>
                <c:pt idx="3">
                  <c:v>22500</c:v>
                </c:pt>
                <c:pt idx="4">
                  <c:v>16470</c:v>
                </c:pt>
                <c:pt idx="5">
                  <c:v>10944</c:v>
                </c:pt>
                <c:pt idx="6">
                  <c:v>6090</c:v>
                </c:pt>
                <c:pt idx="7">
                  <c:v>3920</c:v>
                </c:pt>
                <c:pt idx="8">
                  <c:v>3150</c:v>
                </c:pt>
                <c:pt idx="9">
                  <c:v>3500</c:v>
                </c:pt>
                <c:pt idx="10">
                  <c:v>8720</c:v>
                </c:pt>
                <c:pt idx="11">
                  <c:v>31350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ANALYSIS!$C$253:$C$264</c:f>
              <c:numCache>
                <c:ptCount val="12"/>
                <c:pt idx="0">
                  <c:v>13791.266666666665</c:v>
                </c:pt>
                <c:pt idx="1">
                  <c:v>13791.266666666665</c:v>
                </c:pt>
                <c:pt idx="2">
                  <c:v>13791.266666666665</c:v>
                </c:pt>
                <c:pt idx="3">
                  <c:v>13791.266666666665</c:v>
                </c:pt>
                <c:pt idx="4">
                  <c:v>13791.266666666665</c:v>
                </c:pt>
                <c:pt idx="5">
                  <c:v>13791.266666666665</c:v>
                </c:pt>
                <c:pt idx="6">
                  <c:v>13791.266666666665</c:v>
                </c:pt>
                <c:pt idx="7">
                  <c:v>13791.266666666665</c:v>
                </c:pt>
                <c:pt idx="8">
                  <c:v>13791.266666666665</c:v>
                </c:pt>
                <c:pt idx="9">
                  <c:v>13791.266666666665</c:v>
                </c:pt>
                <c:pt idx="10">
                  <c:v>13791.266666666665</c:v>
                </c:pt>
                <c:pt idx="11">
                  <c:v>13791.266666666665</c:v>
                </c:pt>
              </c:numCache>
            </c:numRef>
          </c:val>
        </c:ser>
        <c:ser>
          <c:idx val="2"/>
          <c:order val="2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ANALYSIS!$B$253:$B$264</c:f>
              <c:numCache>
                <c:ptCount val="12"/>
                <c:pt idx="0">
                  <c:v>113475</c:v>
                </c:pt>
                <c:pt idx="1">
                  <c:v>109965</c:v>
                </c:pt>
                <c:pt idx="2">
                  <c:v>115100</c:v>
                </c:pt>
                <c:pt idx="3">
                  <c:v>116725</c:v>
                </c:pt>
                <c:pt idx="4">
                  <c:v>164250</c:v>
                </c:pt>
                <c:pt idx="5">
                  <c:v>168125</c:v>
                </c:pt>
                <c:pt idx="6">
                  <c:v>165600</c:v>
                </c:pt>
                <c:pt idx="7">
                  <c:v>183705</c:v>
                </c:pt>
                <c:pt idx="8">
                  <c:v>180675</c:v>
                </c:pt>
                <c:pt idx="9">
                  <c:v>171662</c:v>
                </c:pt>
                <c:pt idx="10">
                  <c:v>123575</c:v>
                </c:pt>
                <c:pt idx="11">
                  <c:v>111850</c:v>
                </c:pt>
              </c:numCache>
            </c:numRef>
          </c:val>
        </c:ser>
        <c:ser>
          <c:idx val="3"/>
          <c:order val="3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ANALYSIS!$D$253:$D$264</c:f>
              <c:numCache>
                <c:ptCount val="12"/>
                <c:pt idx="0">
                  <c:v>119118.17119219872</c:v>
                </c:pt>
                <c:pt idx="1">
                  <c:v>119118.17119219872</c:v>
                </c:pt>
                <c:pt idx="2">
                  <c:v>119118.17119219872</c:v>
                </c:pt>
                <c:pt idx="3">
                  <c:v>119118.17119219872</c:v>
                </c:pt>
                <c:pt idx="4">
                  <c:v>119118.17119219872</c:v>
                </c:pt>
                <c:pt idx="5">
                  <c:v>119118.17119219872</c:v>
                </c:pt>
                <c:pt idx="6">
                  <c:v>119118.17119219872</c:v>
                </c:pt>
                <c:pt idx="7">
                  <c:v>119118.17119219872</c:v>
                </c:pt>
                <c:pt idx="8">
                  <c:v>119118.17119219872</c:v>
                </c:pt>
                <c:pt idx="9">
                  <c:v>119118.17119219872</c:v>
                </c:pt>
                <c:pt idx="10">
                  <c:v>119118.17119219872</c:v>
                </c:pt>
                <c:pt idx="11">
                  <c:v>119118.17119219872</c:v>
                </c:pt>
              </c:numCache>
            </c:numRef>
          </c:val>
        </c:ser>
        <c:ser>
          <c:idx val="4"/>
          <c:order val="4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ANALYSIS!$F$253:$F$264</c:f>
              <c:numCache>
                <c:ptCount val="12"/>
                <c:pt idx="0">
                  <c:v>80142.47952553205</c:v>
                </c:pt>
                <c:pt idx="1">
                  <c:v>80142.47952553205</c:v>
                </c:pt>
                <c:pt idx="2">
                  <c:v>80142.47952553205</c:v>
                </c:pt>
                <c:pt idx="3">
                  <c:v>80142.47952553205</c:v>
                </c:pt>
                <c:pt idx="4">
                  <c:v>80142.47952553205</c:v>
                </c:pt>
                <c:pt idx="5">
                  <c:v>80142.47952553205</c:v>
                </c:pt>
                <c:pt idx="6">
                  <c:v>80142.47952553205</c:v>
                </c:pt>
                <c:pt idx="7">
                  <c:v>80142.47952553205</c:v>
                </c:pt>
                <c:pt idx="8">
                  <c:v>80142.47952553205</c:v>
                </c:pt>
                <c:pt idx="9">
                  <c:v>80142.47952553205</c:v>
                </c:pt>
                <c:pt idx="10">
                  <c:v>80142.47952553205</c:v>
                </c:pt>
                <c:pt idx="11">
                  <c:v>80142.47952553205</c:v>
                </c:pt>
              </c:numCache>
            </c:numRef>
          </c:val>
        </c:ser>
        <c:axId val="23478383"/>
        <c:axId val="9978856"/>
      </c:barChart>
      <c:catAx>
        <c:axId val="23478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Monthly Breakdown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978856"/>
        <c:crossesAt val="0"/>
        <c:auto val="1"/>
        <c:lblOffset val="100"/>
        <c:tickLblSkip val="1"/>
        <c:noMultiLvlLbl val="0"/>
      </c:catAx>
      <c:valAx>
        <c:axId val="9978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Monthly Dollar Expendature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78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35"/>
          <c:y val="0.955"/>
          <c:w val="0.392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 New"/>
          <a:ea typeface="Courier New"/>
          <a:cs typeface="Courier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Gas &amp; Electric Cost Analysis
Before &amp; After Cogeneration</a:t>
            </a:r>
          </a:p>
        </c:rich>
      </c:tx>
      <c:layout>
        <c:manualLayout>
          <c:xMode val="factor"/>
          <c:yMode val="factor"/>
          <c:x val="0.001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3775"/>
          <c:w val="0.943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ANALYSIS!$A$253:$A$264</c:f>
              <c:numCache>
                <c:ptCount val="12"/>
                <c:pt idx="0">
                  <c:v>32300</c:v>
                </c:pt>
                <c:pt idx="1">
                  <c:v>34200</c:v>
                </c:pt>
                <c:pt idx="2">
                  <c:v>33725</c:v>
                </c:pt>
                <c:pt idx="3">
                  <c:v>22500</c:v>
                </c:pt>
                <c:pt idx="4">
                  <c:v>16470</c:v>
                </c:pt>
                <c:pt idx="5">
                  <c:v>10944</c:v>
                </c:pt>
                <c:pt idx="6">
                  <c:v>6090</c:v>
                </c:pt>
                <c:pt idx="7">
                  <c:v>3920</c:v>
                </c:pt>
                <c:pt idx="8">
                  <c:v>3150</c:v>
                </c:pt>
                <c:pt idx="9">
                  <c:v>3500</c:v>
                </c:pt>
                <c:pt idx="10">
                  <c:v>8720</c:v>
                </c:pt>
                <c:pt idx="11">
                  <c:v>31350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ANALYSIS!$C$253:$C$264</c:f>
              <c:numCache>
                <c:ptCount val="12"/>
                <c:pt idx="0">
                  <c:v>13791.266666666665</c:v>
                </c:pt>
                <c:pt idx="1">
                  <c:v>13791.266666666665</c:v>
                </c:pt>
                <c:pt idx="2">
                  <c:v>13791.266666666665</c:v>
                </c:pt>
                <c:pt idx="3">
                  <c:v>13791.266666666665</c:v>
                </c:pt>
                <c:pt idx="4">
                  <c:v>13791.266666666665</c:v>
                </c:pt>
                <c:pt idx="5">
                  <c:v>13791.266666666665</c:v>
                </c:pt>
                <c:pt idx="6">
                  <c:v>13791.266666666665</c:v>
                </c:pt>
                <c:pt idx="7">
                  <c:v>13791.266666666665</c:v>
                </c:pt>
                <c:pt idx="8">
                  <c:v>13791.266666666665</c:v>
                </c:pt>
                <c:pt idx="9">
                  <c:v>13791.266666666665</c:v>
                </c:pt>
                <c:pt idx="10">
                  <c:v>13791.266666666665</c:v>
                </c:pt>
                <c:pt idx="11">
                  <c:v>13791.266666666665</c:v>
                </c:pt>
              </c:numCache>
            </c:numRef>
          </c:val>
        </c:ser>
        <c:ser>
          <c:idx val="2"/>
          <c:order val="2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ANALYSIS!$B$253:$B$264</c:f>
              <c:numCache>
                <c:ptCount val="12"/>
                <c:pt idx="0">
                  <c:v>113475</c:v>
                </c:pt>
                <c:pt idx="1">
                  <c:v>109965</c:v>
                </c:pt>
                <c:pt idx="2">
                  <c:v>115100</c:v>
                </c:pt>
                <c:pt idx="3">
                  <c:v>116725</c:v>
                </c:pt>
                <c:pt idx="4">
                  <c:v>164250</c:v>
                </c:pt>
                <c:pt idx="5">
                  <c:v>168125</c:v>
                </c:pt>
                <c:pt idx="6">
                  <c:v>165600</c:v>
                </c:pt>
                <c:pt idx="7">
                  <c:v>183705</c:v>
                </c:pt>
                <c:pt idx="8">
                  <c:v>180675</c:v>
                </c:pt>
                <c:pt idx="9">
                  <c:v>171662</c:v>
                </c:pt>
                <c:pt idx="10">
                  <c:v>123575</c:v>
                </c:pt>
                <c:pt idx="11">
                  <c:v>111850</c:v>
                </c:pt>
              </c:numCache>
            </c:numRef>
          </c:val>
        </c:ser>
        <c:ser>
          <c:idx val="3"/>
          <c:order val="3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ANALYSIS!$D$253:$D$264</c:f>
              <c:numCache>
                <c:ptCount val="12"/>
                <c:pt idx="0">
                  <c:v>119118.17119219872</c:v>
                </c:pt>
                <c:pt idx="1">
                  <c:v>119118.17119219872</c:v>
                </c:pt>
                <c:pt idx="2">
                  <c:v>119118.17119219872</c:v>
                </c:pt>
                <c:pt idx="3">
                  <c:v>119118.17119219872</c:v>
                </c:pt>
                <c:pt idx="4">
                  <c:v>119118.17119219872</c:v>
                </c:pt>
                <c:pt idx="5">
                  <c:v>119118.17119219872</c:v>
                </c:pt>
                <c:pt idx="6">
                  <c:v>119118.17119219872</c:v>
                </c:pt>
                <c:pt idx="7">
                  <c:v>119118.17119219872</c:v>
                </c:pt>
                <c:pt idx="8">
                  <c:v>119118.17119219872</c:v>
                </c:pt>
                <c:pt idx="9">
                  <c:v>119118.17119219872</c:v>
                </c:pt>
                <c:pt idx="10">
                  <c:v>119118.17119219872</c:v>
                </c:pt>
                <c:pt idx="11">
                  <c:v>119118.17119219872</c:v>
                </c:pt>
              </c:numCache>
            </c:numRef>
          </c:val>
        </c:ser>
        <c:ser>
          <c:idx val="4"/>
          <c:order val="4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ANALYSIS!$F$253:$F$264</c:f>
              <c:numCache>
                <c:ptCount val="12"/>
                <c:pt idx="0">
                  <c:v>80142.47952553205</c:v>
                </c:pt>
                <c:pt idx="1">
                  <c:v>80142.47952553205</c:v>
                </c:pt>
                <c:pt idx="2">
                  <c:v>80142.47952553205</c:v>
                </c:pt>
                <c:pt idx="3">
                  <c:v>80142.47952553205</c:v>
                </c:pt>
                <c:pt idx="4">
                  <c:v>80142.47952553205</c:v>
                </c:pt>
                <c:pt idx="5">
                  <c:v>80142.47952553205</c:v>
                </c:pt>
                <c:pt idx="6">
                  <c:v>80142.47952553205</c:v>
                </c:pt>
                <c:pt idx="7">
                  <c:v>80142.47952553205</c:v>
                </c:pt>
                <c:pt idx="8">
                  <c:v>80142.47952553205</c:v>
                </c:pt>
                <c:pt idx="9">
                  <c:v>80142.47952553205</c:v>
                </c:pt>
                <c:pt idx="10">
                  <c:v>80142.47952553205</c:v>
                </c:pt>
                <c:pt idx="11">
                  <c:v>80142.47952553205</c:v>
                </c:pt>
              </c:numCache>
            </c:numRef>
          </c:val>
        </c:ser>
        <c:axId val="22700841"/>
        <c:axId val="2980978"/>
      </c:barChart>
      <c:catAx>
        <c:axId val="22700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Monthly Breakdown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80978"/>
        <c:crossesAt val="0"/>
        <c:auto val="1"/>
        <c:lblOffset val="100"/>
        <c:tickLblSkip val="1"/>
        <c:noMultiLvlLbl val="0"/>
      </c:catAx>
      <c:valAx>
        <c:axId val="2980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Monthly Dollar Expendature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00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35"/>
          <c:y val="0.955"/>
          <c:w val="0.392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 New"/>
          <a:ea typeface="Courier New"/>
          <a:cs typeface="Courier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Gas &amp; Electric Cost Analysis
Before &amp; After Cogeneration</a:t>
            </a:r>
          </a:p>
        </c:rich>
      </c:tx>
      <c:layout>
        <c:manualLayout>
          <c:xMode val="factor"/>
          <c:yMode val="factor"/>
          <c:x val="0.001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3775"/>
          <c:w val="0.943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ANALYSIS!$A$253:$A$264</c:f>
              <c:numCache>
                <c:ptCount val="12"/>
                <c:pt idx="0">
                  <c:v>32300</c:v>
                </c:pt>
                <c:pt idx="1">
                  <c:v>34200</c:v>
                </c:pt>
                <c:pt idx="2">
                  <c:v>33725</c:v>
                </c:pt>
                <c:pt idx="3">
                  <c:v>22500</c:v>
                </c:pt>
                <c:pt idx="4">
                  <c:v>16470</c:v>
                </c:pt>
                <c:pt idx="5">
                  <c:v>10944</c:v>
                </c:pt>
                <c:pt idx="6">
                  <c:v>6090</c:v>
                </c:pt>
                <c:pt idx="7">
                  <c:v>3920</c:v>
                </c:pt>
                <c:pt idx="8">
                  <c:v>3150</c:v>
                </c:pt>
                <c:pt idx="9">
                  <c:v>3500</c:v>
                </c:pt>
                <c:pt idx="10">
                  <c:v>8720</c:v>
                </c:pt>
                <c:pt idx="11">
                  <c:v>31350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ANALYSIS!$C$253:$C$264</c:f>
              <c:numCache>
                <c:ptCount val="12"/>
                <c:pt idx="0">
                  <c:v>13791.266666666665</c:v>
                </c:pt>
                <c:pt idx="1">
                  <c:v>13791.266666666665</c:v>
                </c:pt>
                <c:pt idx="2">
                  <c:v>13791.266666666665</c:v>
                </c:pt>
                <c:pt idx="3">
                  <c:v>13791.266666666665</c:v>
                </c:pt>
                <c:pt idx="4">
                  <c:v>13791.266666666665</c:v>
                </c:pt>
                <c:pt idx="5">
                  <c:v>13791.266666666665</c:v>
                </c:pt>
                <c:pt idx="6">
                  <c:v>13791.266666666665</c:v>
                </c:pt>
                <c:pt idx="7">
                  <c:v>13791.266666666665</c:v>
                </c:pt>
                <c:pt idx="8">
                  <c:v>13791.266666666665</c:v>
                </c:pt>
                <c:pt idx="9">
                  <c:v>13791.266666666665</c:v>
                </c:pt>
                <c:pt idx="10">
                  <c:v>13791.266666666665</c:v>
                </c:pt>
                <c:pt idx="11">
                  <c:v>13791.266666666665</c:v>
                </c:pt>
              </c:numCache>
            </c:numRef>
          </c:val>
        </c:ser>
        <c:ser>
          <c:idx val="2"/>
          <c:order val="2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ANALYSIS!$B$253:$B$264</c:f>
              <c:numCache>
                <c:ptCount val="12"/>
                <c:pt idx="0">
                  <c:v>113475</c:v>
                </c:pt>
                <c:pt idx="1">
                  <c:v>109965</c:v>
                </c:pt>
                <c:pt idx="2">
                  <c:v>115100</c:v>
                </c:pt>
                <c:pt idx="3">
                  <c:v>116725</c:v>
                </c:pt>
                <c:pt idx="4">
                  <c:v>164250</c:v>
                </c:pt>
                <c:pt idx="5">
                  <c:v>168125</c:v>
                </c:pt>
                <c:pt idx="6">
                  <c:v>165600</c:v>
                </c:pt>
                <c:pt idx="7">
                  <c:v>183705</c:v>
                </c:pt>
                <c:pt idx="8">
                  <c:v>180675</c:v>
                </c:pt>
                <c:pt idx="9">
                  <c:v>171662</c:v>
                </c:pt>
                <c:pt idx="10">
                  <c:v>123575</c:v>
                </c:pt>
                <c:pt idx="11">
                  <c:v>111850</c:v>
                </c:pt>
              </c:numCache>
            </c:numRef>
          </c:val>
        </c:ser>
        <c:ser>
          <c:idx val="3"/>
          <c:order val="3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ANALYSIS!$D$253:$D$264</c:f>
              <c:numCache>
                <c:ptCount val="12"/>
                <c:pt idx="0">
                  <c:v>119118.17119219872</c:v>
                </c:pt>
                <c:pt idx="1">
                  <c:v>119118.17119219872</c:v>
                </c:pt>
                <c:pt idx="2">
                  <c:v>119118.17119219872</c:v>
                </c:pt>
                <c:pt idx="3">
                  <c:v>119118.17119219872</c:v>
                </c:pt>
                <c:pt idx="4">
                  <c:v>119118.17119219872</c:v>
                </c:pt>
                <c:pt idx="5">
                  <c:v>119118.17119219872</c:v>
                </c:pt>
                <c:pt idx="6">
                  <c:v>119118.17119219872</c:v>
                </c:pt>
                <c:pt idx="7">
                  <c:v>119118.17119219872</c:v>
                </c:pt>
                <c:pt idx="8">
                  <c:v>119118.17119219872</c:v>
                </c:pt>
                <c:pt idx="9">
                  <c:v>119118.17119219872</c:v>
                </c:pt>
                <c:pt idx="10">
                  <c:v>119118.17119219872</c:v>
                </c:pt>
                <c:pt idx="11">
                  <c:v>119118.17119219872</c:v>
                </c:pt>
              </c:numCache>
            </c:numRef>
          </c:val>
        </c:ser>
        <c:ser>
          <c:idx val="4"/>
          <c:order val="4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ANALYSIS!$F$253:$F$264</c:f>
              <c:numCache>
                <c:ptCount val="12"/>
                <c:pt idx="0">
                  <c:v>80142.47952553205</c:v>
                </c:pt>
                <c:pt idx="1">
                  <c:v>80142.47952553205</c:v>
                </c:pt>
                <c:pt idx="2">
                  <c:v>80142.47952553205</c:v>
                </c:pt>
                <c:pt idx="3">
                  <c:v>80142.47952553205</c:v>
                </c:pt>
                <c:pt idx="4">
                  <c:v>80142.47952553205</c:v>
                </c:pt>
                <c:pt idx="5">
                  <c:v>80142.47952553205</c:v>
                </c:pt>
                <c:pt idx="6">
                  <c:v>80142.47952553205</c:v>
                </c:pt>
                <c:pt idx="7">
                  <c:v>80142.47952553205</c:v>
                </c:pt>
                <c:pt idx="8">
                  <c:v>80142.47952553205</c:v>
                </c:pt>
                <c:pt idx="9">
                  <c:v>80142.47952553205</c:v>
                </c:pt>
                <c:pt idx="10">
                  <c:v>80142.47952553205</c:v>
                </c:pt>
                <c:pt idx="11">
                  <c:v>80142.47952553205</c:v>
                </c:pt>
              </c:numCache>
            </c:numRef>
          </c:val>
        </c:ser>
        <c:axId val="26828803"/>
        <c:axId val="40132636"/>
      </c:barChart>
      <c:catAx>
        <c:axId val="26828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Monthly Breakdown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32636"/>
        <c:crossesAt val="0"/>
        <c:auto val="1"/>
        <c:lblOffset val="100"/>
        <c:tickLblSkip val="1"/>
        <c:noMultiLvlLbl val="0"/>
      </c:catAx>
      <c:valAx>
        <c:axId val="40132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Monthly Dollar Expendature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28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35"/>
          <c:y val="0.955"/>
          <c:w val="0.392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urier New"/>
          <a:ea typeface="Courier New"/>
          <a:cs typeface="Courier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19050</xdr:rowOff>
    </xdr:from>
    <xdr:to>
      <xdr:col>9</xdr:col>
      <xdr:colOff>666750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361950" y="190500"/>
        <a:ext cx="7677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19050</xdr:rowOff>
    </xdr:from>
    <xdr:to>
      <xdr:col>9</xdr:col>
      <xdr:colOff>666750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361950" y="190500"/>
        <a:ext cx="7677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19050</xdr:rowOff>
    </xdr:from>
    <xdr:to>
      <xdr:col>9</xdr:col>
      <xdr:colOff>666750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361950" y="190500"/>
        <a:ext cx="7677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529"/>
  <sheetViews>
    <sheetView showGridLines="0" tabSelected="1" zoomScale="117" zoomScaleNormal="117" zoomScalePageLayoutView="0" workbookViewId="0" topLeftCell="A114">
      <selection activeCell="C136" sqref="C136"/>
    </sheetView>
  </sheetViews>
  <sheetFormatPr defaultColWidth="9.625" defaultRowHeight="13.5"/>
  <cols>
    <col min="1" max="1" width="21.625" style="0" customWidth="1"/>
    <col min="2" max="2" width="12.625" style="0" customWidth="1"/>
    <col min="3" max="3" width="13.625" style="0" customWidth="1"/>
    <col min="4" max="4" width="12.625" style="0" customWidth="1"/>
    <col min="5" max="5" width="10.625" style="0" customWidth="1"/>
    <col min="6" max="6" width="9.625" style="0" customWidth="1"/>
    <col min="7" max="7" width="21.625" style="0" customWidth="1"/>
    <col min="8" max="10" width="11.625" style="0" customWidth="1"/>
    <col min="11" max="11" width="9.625" style="0" customWidth="1"/>
    <col min="12" max="12" width="11.625" style="0" customWidth="1"/>
    <col min="13" max="13" width="22.625" style="0" customWidth="1"/>
    <col min="14" max="14" width="13.375" style="0" customWidth="1"/>
    <col min="15" max="15" width="9.625" style="0" customWidth="1"/>
    <col min="16" max="16" width="1.625" style="0" customWidth="1"/>
    <col min="17" max="17" width="22.125" style="0" customWidth="1"/>
    <col min="18" max="18" width="17.25390625" style="0" customWidth="1"/>
    <col min="19" max="19" width="5.625" style="0" customWidth="1"/>
    <col min="20" max="20" width="21.625" style="0" customWidth="1"/>
    <col min="21" max="22" width="12.625" style="0" customWidth="1"/>
    <col min="23" max="23" width="12.125" style="0" customWidth="1"/>
    <col min="24" max="24" width="12.625" style="0" customWidth="1"/>
    <col min="25" max="25" width="12.375" style="0" customWidth="1"/>
    <col min="26" max="27" width="9.625" style="0" customWidth="1"/>
    <col min="28" max="28" width="10.625" style="0" customWidth="1"/>
    <col min="29" max="29" width="14.625" style="0" customWidth="1"/>
    <col min="30" max="30" width="17.625" style="0" customWidth="1"/>
    <col min="31" max="31" width="13.625" style="0" customWidth="1"/>
    <col min="32" max="34" width="9.625" style="0" customWidth="1"/>
    <col min="35" max="35" width="1.625" style="0" customWidth="1"/>
    <col min="36" max="36" width="22.625" style="0" customWidth="1"/>
    <col min="37" max="37" width="2.625" style="0" customWidth="1"/>
    <col min="38" max="38" width="8.625" style="0" customWidth="1"/>
    <col min="39" max="39" width="13.625" style="0" customWidth="1"/>
    <col min="40" max="41" width="12.75390625" style="0" customWidth="1"/>
    <col min="42" max="42" width="9.625" style="0" customWidth="1"/>
    <col min="43" max="43" width="23.625" style="0" customWidth="1"/>
    <col min="44" max="44" width="32.625" style="0" customWidth="1"/>
    <col min="45" max="46" width="10.625" style="0" customWidth="1"/>
    <col min="47" max="47" width="12.625" style="0" customWidth="1"/>
    <col min="48" max="48" width="13.625" style="0" customWidth="1"/>
    <col min="49" max="49" width="9.625" style="0" customWidth="1"/>
    <col min="50" max="50" width="1.625" style="0" customWidth="1"/>
    <col min="51" max="52" width="9.625" style="0" customWidth="1"/>
    <col min="53" max="53" width="10.625" style="0" customWidth="1"/>
    <col min="54" max="55" width="9.625" style="0" customWidth="1"/>
    <col min="56" max="56" width="10.625" style="0" customWidth="1"/>
  </cols>
  <sheetData>
    <row r="1" spans="1:98" ht="13.5">
      <c r="A1" s="1" t="s">
        <v>0</v>
      </c>
      <c r="B1" s="2" t="s">
        <v>1</v>
      </c>
      <c r="C1" s="2"/>
      <c r="D1" s="2"/>
      <c r="E1" s="1" t="s">
        <v>2</v>
      </c>
      <c r="M1" s="1" t="s">
        <v>3</v>
      </c>
      <c r="N1" s="3" t="s">
        <v>4</v>
      </c>
      <c r="O1" s="3" t="s">
        <v>4</v>
      </c>
      <c r="P1" s="3" t="s">
        <v>4</v>
      </c>
      <c r="Q1" s="1" t="s">
        <v>5</v>
      </c>
      <c r="T1" s="1" t="s">
        <v>6</v>
      </c>
      <c r="U1" s="3" t="s">
        <v>4</v>
      </c>
      <c r="V1" s="3" t="s">
        <v>4</v>
      </c>
      <c r="W1" s="3" t="s">
        <v>4</v>
      </c>
      <c r="X1" s="1" t="s">
        <v>7</v>
      </c>
      <c r="AB1" s="1" t="s">
        <v>8</v>
      </c>
      <c r="AC1" s="3" t="s">
        <v>4</v>
      </c>
      <c r="AD1" s="3" t="s">
        <v>4</v>
      </c>
      <c r="AE1" s="1" t="s">
        <v>7</v>
      </c>
      <c r="AM1" s="4" t="s">
        <v>9</v>
      </c>
      <c r="BR1" s="2"/>
      <c r="BS1" s="2"/>
      <c r="BT1" s="2"/>
      <c r="BU1" s="2"/>
      <c r="BV1" s="2"/>
      <c r="BW1" s="2"/>
      <c r="BX1" s="2"/>
      <c r="BY1" s="2"/>
      <c r="BZ1" s="2"/>
      <c r="CJ1" s="2"/>
      <c r="CK1" s="2"/>
      <c r="CL1" s="2"/>
      <c r="CM1" s="2"/>
      <c r="CQ1" s="2"/>
      <c r="CR1" s="2"/>
      <c r="CS1" s="2"/>
      <c r="CT1" s="2"/>
    </row>
    <row r="2" spans="2:98" ht="13.5">
      <c r="B2" t="s">
        <v>10</v>
      </c>
      <c r="N2" s="1" t="s">
        <v>11</v>
      </c>
      <c r="U2" s="1" t="s">
        <v>12</v>
      </c>
      <c r="AC2" s="1" t="s">
        <v>13</v>
      </c>
      <c r="BR2" s="2"/>
      <c r="BS2" s="2"/>
      <c r="BT2" s="2"/>
      <c r="BU2" s="2"/>
      <c r="BV2" s="2"/>
      <c r="BW2" s="2"/>
      <c r="BX2" s="2"/>
      <c r="BY2" s="2"/>
      <c r="BZ2" s="2"/>
      <c r="CJ2" s="2"/>
      <c r="CK2" s="2"/>
      <c r="CL2" s="2"/>
      <c r="CM2" s="2"/>
      <c r="CQ2" s="2"/>
      <c r="CR2" s="2"/>
      <c r="CS2" s="2"/>
      <c r="CT2" s="2"/>
    </row>
    <row r="3" spans="1:98" ht="13.5">
      <c r="A3" s="1" t="s">
        <v>14</v>
      </c>
      <c r="B3" s="2" t="s">
        <v>15</v>
      </c>
      <c r="C3" s="2"/>
      <c r="D3" s="2"/>
      <c r="E3" s="1" t="s">
        <v>16</v>
      </c>
      <c r="M3" s="1" t="s">
        <v>17</v>
      </c>
      <c r="T3" s="1" t="s">
        <v>18</v>
      </c>
      <c r="AB3" s="1" t="s">
        <v>19</v>
      </c>
      <c r="BR3" s="2"/>
      <c r="BS3" s="2"/>
      <c r="BT3" s="2"/>
      <c r="BU3" s="2"/>
      <c r="BV3" s="2"/>
      <c r="BW3" s="2"/>
      <c r="BX3" s="2"/>
      <c r="BY3" s="2"/>
      <c r="BZ3" s="2"/>
      <c r="CJ3" s="2"/>
      <c r="CK3" s="2"/>
      <c r="CL3" s="2"/>
      <c r="CM3" s="2"/>
      <c r="CQ3" s="2"/>
      <c r="CR3" s="2"/>
      <c r="CS3" s="2"/>
      <c r="CT3" s="2"/>
    </row>
    <row r="4" spans="1:98" ht="13.5">
      <c r="A4" s="1" t="s">
        <v>20</v>
      </c>
      <c r="B4" s="2" t="s">
        <v>21</v>
      </c>
      <c r="C4" s="2"/>
      <c r="D4" s="2"/>
      <c r="E4" s="1" t="s">
        <v>22</v>
      </c>
      <c r="M4" s="1" t="s">
        <v>3</v>
      </c>
      <c r="N4" s="3" t="s">
        <v>4</v>
      </c>
      <c r="O4" s="3" t="s">
        <v>4</v>
      </c>
      <c r="P4" s="3" t="s">
        <v>4</v>
      </c>
      <c r="Q4" s="1" t="s">
        <v>5</v>
      </c>
      <c r="T4" s="1" t="s">
        <v>6</v>
      </c>
      <c r="U4" s="3" t="s">
        <v>4</v>
      </c>
      <c r="V4" s="3" t="s">
        <v>4</v>
      </c>
      <c r="W4" s="3" t="s">
        <v>4</v>
      </c>
      <c r="X4" s="1" t="s">
        <v>7</v>
      </c>
      <c r="AB4" s="1" t="s">
        <v>8</v>
      </c>
      <c r="AC4" s="3" t="s">
        <v>4</v>
      </c>
      <c r="AD4" s="3" t="s">
        <v>4</v>
      </c>
      <c r="AE4" s="1" t="s">
        <v>7</v>
      </c>
      <c r="BR4" s="2"/>
      <c r="BS4" s="2"/>
      <c r="BT4" s="2"/>
      <c r="BU4" s="2"/>
      <c r="BV4" s="2"/>
      <c r="BW4" s="2"/>
      <c r="BX4" s="2"/>
      <c r="BY4" s="2"/>
      <c r="BZ4" s="2"/>
      <c r="CJ4" s="2"/>
      <c r="CK4" s="2"/>
      <c r="CL4" s="2"/>
      <c r="CM4" s="2"/>
      <c r="CQ4" s="2"/>
      <c r="CR4" s="2"/>
      <c r="CS4" s="2"/>
      <c r="CT4" s="2"/>
    </row>
    <row r="5" spans="70:98" ht="13.5">
      <c r="BR5" s="2"/>
      <c r="BS5" s="2"/>
      <c r="BT5" s="2"/>
      <c r="BU5" s="2"/>
      <c r="BV5" s="2"/>
      <c r="BW5" s="2"/>
      <c r="BX5" s="2"/>
      <c r="BY5" s="2"/>
      <c r="BZ5" s="2"/>
      <c r="CA5" s="2"/>
      <c r="CF5" s="2"/>
      <c r="CJ5" s="2"/>
      <c r="CK5" s="2"/>
      <c r="CL5" s="2"/>
      <c r="CM5" s="2"/>
      <c r="CQ5" s="2"/>
      <c r="CR5" s="2"/>
      <c r="CS5" s="2"/>
      <c r="CT5" s="2"/>
    </row>
    <row r="6" spans="1:98" ht="13.5">
      <c r="A6" s="1" t="s">
        <v>23</v>
      </c>
      <c r="B6" s="2" t="s">
        <v>10</v>
      </c>
      <c r="C6" s="2"/>
      <c r="D6" s="2"/>
      <c r="E6" s="1" t="s">
        <v>24</v>
      </c>
      <c r="M6" s="1" t="s">
        <v>25</v>
      </c>
      <c r="N6" s="5" t="str">
        <f>B1</f>
        <v>ABC Company</v>
      </c>
      <c r="T6" s="1" t="s">
        <v>25</v>
      </c>
      <c r="U6" s="5" t="str">
        <f>N6</f>
        <v>ABC Company</v>
      </c>
      <c r="AA6" s="1" t="s">
        <v>26</v>
      </c>
      <c r="AE6" s="6">
        <f>W46</f>
        <v>949900</v>
      </c>
      <c r="AH6" s="1" t="s">
        <v>27</v>
      </c>
      <c r="AL6" s="1" t="s">
        <v>10</v>
      </c>
      <c r="AN6" s="7">
        <f>B11</f>
        <v>40990</v>
      </c>
      <c r="BR6" s="2"/>
      <c r="BS6" s="2"/>
      <c r="BT6" s="2"/>
      <c r="BU6" s="2"/>
      <c r="BV6" s="2"/>
      <c r="BW6" s="2"/>
      <c r="BX6" s="2"/>
      <c r="BY6" s="2"/>
      <c r="BZ6" s="2"/>
      <c r="CA6" s="2"/>
      <c r="CJ6" s="2"/>
      <c r="CK6" s="2"/>
      <c r="CL6" s="2"/>
      <c r="CM6" s="2"/>
      <c r="CQ6" s="2"/>
      <c r="CR6" s="2"/>
      <c r="CS6" s="2"/>
      <c r="CT6" s="2"/>
    </row>
    <row r="7" spans="2:98" ht="13.5">
      <c r="B7" t="s">
        <v>10</v>
      </c>
      <c r="BR7" s="2"/>
      <c r="BS7" s="2"/>
      <c r="BT7" s="2"/>
      <c r="BU7" s="2"/>
      <c r="BV7" s="2"/>
      <c r="BW7" s="2"/>
      <c r="BX7" s="2"/>
      <c r="BY7" s="2"/>
      <c r="BZ7" s="2"/>
      <c r="CA7" s="2"/>
      <c r="CJ7" s="2"/>
      <c r="CK7" s="2"/>
      <c r="CL7" s="2"/>
      <c r="CM7" s="2"/>
      <c r="CQ7" s="2"/>
      <c r="CR7" s="2"/>
      <c r="CS7" s="2"/>
      <c r="CT7" s="2"/>
    </row>
    <row r="8" spans="1:98" ht="13.5">
      <c r="A8" s="1" t="s">
        <v>28</v>
      </c>
      <c r="B8" s="8" t="s">
        <v>29</v>
      </c>
      <c r="C8" s="2"/>
      <c r="D8" s="2"/>
      <c r="E8" s="1" t="s">
        <v>16</v>
      </c>
      <c r="M8" s="1" t="s">
        <v>30</v>
      </c>
      <c r="N8" s="5" t="str">
        <f>B3</f>
        <v>Any Street</v>
      </c>
      <c r="T8" s="1" t="s">
        <v>30</v>
      </c>
      <c r="U8" s="5" t="str">
        <f>N8</f>
        <v>Any Street</v>
      </c>
      <c r="AA8" s="1" t="s">
        <v>31</v>
      </c>
      <c r="AE8" s="6">
        <f>(+N17+R17+R20)/12</f>
        <v>160964.66666666666</v>
      </c>
      <c r="AH8" s="1" t="s">
        <v>32</v>
      </c>
      <c r="BR8" s="2"/>
      <c r="BS8" s="2"/>
      <c r="BT8" s="2"/>
      <c r="BU8" s="2"/>
      <c r="BV8" s="2"/>
      <c r="BW8" s="2"/>
      <c r="BX8" s="2"/>
      <c r="BY8" s="2"/>
      <c r="BZ8" s="2"/>
      <c r="CA8" s="2"/>
      <c r="CB8" s="9"/>
      <c r="CJ8" s="2"/>
      <c r="CK8" s="2"/>
      <c r="CL8" s="2"/>
      <c r="CM8" s="2"/>
      <c r="CQ8" s="2"/>
      <c r="CR8" s="2"/>
      <c r="CS8" s="2"/>
      <c r="CT8" s="2"/>
    </row>
    <row r="9" spans="1:98" ht="13.5">
      <c r="A9" s="1" t="s">
        <v>20</v>
      </c>
      <c r="B9" s="8" t="s">
        <v>29</v>
      </c>
      <c r="C9" s="2"/>
      <c r="D9" s="2"/>
      <c r="N9" s="5" t="str">
        <f>B4</f>
        <v>Any Town USA</v>
      </c>
      <c r="U9" s="5" t="str">
        <f>N9</f>
        <v>Any Town USA</v>
      </c>
      <c r="AH9" s="1" t="s">
        <v>33</v>
      </c>
      <c r="BR9" s="2"/>
      <c r="BS9" s="2"/>
      <c r="BT9" s="2"/>
      <c r="BU9" s="2"/>
      <c r="BV9" s="2"/>
      <c r="BW9" s="2"/>
      <c r="BX9" s="2"/>
      <c r="BY9" s="2"/>
      <c r="BZ9" s="2"/>
      <c r="CA9" s="2"/>
      <c r="CJ9" s="2"/>
      <c r="CK9" s="2"/>
      <c r="CL9" s="2"/>
      <c r="CM9" s="2"/>
      <c r="CQ9" s="2"/>
      <c r="CR9" s="2"/>
      <c r="CS9" s="2"/>
      <c r="CT9" s="2"/>
    </row>
    <row r="10" spans="27:98" ht="13.5">
      <c r="AA10" s="1" t="s">
        <v>34</v>
      </c>
      <c r="AE10" s="6">
        <f>W52</f>
        <v>80142.47952553205</v>
      </c>
      <c r="AH10" s="1" t="s">
        <v>35</v>
      </c>
      <c r="BR10" s="2"/>
      <c r="BS10" s="2"/>
      <c r="BT10" s="2"/>
      <c r="BU10" s="2"/>
      <c r="BV10" s="2"/>
      <c r="BW10" s="2"/>
      <c r="BX10" s="2"/>
      <c r="BY10" s="2"/>
      <c r="BZ10" s="2"/>
      <c r="CA10" s="2"/>
      <c r="CJ10" s="2"/>
      <c r="CK10" s="2"/>
      <c r="CL10" s="2"/>
      <c r="CM10" s="2"/>
      <c r="CQ10" s="2"/>
      <c r="CR10" s="2"/>
      <c r="CS10" s="2"/>
      <c r="CT10" s="2"/>
    </row>
    <row r="11" spans="1:98" ht="13.5">
      <c r="A11" s="1" t="s">
        <v>36</v>
      </c>
      <c r="B11" s="10">
        <v>40990</v>
      </c>
      <c r="C11" s="2"/>
      <c r="D11" s="2"/>
      <c r="E11" s="1" t="s">
        <v>2</v>
      </c>
      <c r="M11" s="1" t="s">
        <v>37</v>
      </c>
      <c r="N11" t="s">
        <v>38</v>
      </c>
      <c r="T11" s="1" t="s">
        <v>37</v>
      </c>
      <c r="U11" s="5" t="str">
        <f>N11</f>
        <v>One (1) Model 1063 Jenbacher Engine Generator</v>
      </c>
      <c r="AH11" s="1" t="s">
        <v>39</v>
      </c>
      <c r="BR11" s="2"/>
      <c r="BS11" s="2"/>
      <c r="BT11" s="2"/>
      <c r="BU11" s="2"/>
      <c r="BV11" s="2"/>
      <c r="BW11" s="2"/>
      <c r="BX11" s="2"/>
      <c r="BY11" s="2"/>
      <c r="BZ11" s="2"/>
      <c r="CA11" s="2"/>
      <c r="CJ11" s="2"/>
      <c r="CK11" s="2"/>
      <c r="CL11" s="2"/>
      <c r="CM11" s="2"/>
      <c r="CQ11" s="2"/>
      <c r="CR11" s="2"/>
      <c r="CS11" s="2"/>
      <c r="CT11" s="2"/>
    </row>
    <row r="12" spans="14:98" ht="13.5">
      <c r="N12" t="s">
        <v>40</v>
      </c>
      <c r="U12" t="str">
        <f>N12</f>
        <v>With Hot Water HX and 270 Ton Absorber Chiller</v>
      </c>
      <c r="AA12" s="1" t="s">
        <v>41</v>
      </c>
      <c r="AE12" s="6">
        <f>AE8-AE10</f>
        <v>80822.18714113461</v>
      </c>
      <c r="BR12" s="2"/>
      <c r="BS12" s="2"/>
      <c r="BT12" s="2"/>
      <c r="BU12" s="2"/>
      <c r="BV12" s="2"/>
      <c r="BW12" s="2"/>
      <c r="BX12" s="2"/>
      <c r="BY12" s="2"/>
      <c r="BZ12" s="2"/>
      <c r="CA12" s="2"/>
      <c r="CD12" s="11"/>
      <c r="CJ12" s="2"/>
      <c r="CK12" s="2"/>
      <c r="CL12" s="2"/>
      <c r="CM12" s="2"/>
      <c r="CQ12" s="2"/>
      <c r="CR12" s="2"/>
      <c r="CS12" s="2"/>
      <c r="CT12" s="2"/>
    </row>
    <row r="13" spans="1:98" ht="13.5">
      <c r="A13" s="1" t="s">
        <v>42</v>
      </c>
      <c r="B13" s="8" t="s">
        <v>10</v>
      </c>
      <c r="C13" s="2"/>
      <c r="D13" s="2"/>
      <c r="E13" s="1" t="s">
        <v>43</v>
      </c>
      <c r="M13" s="1" t="s">
        <v>44</v>
      </c>
      <c r="N13" s="9">
        <f>B11</f>
        <v>40990</v>
      </c>
      <c r="BR13" s="2"/>
      <c r="BS13" s="2"/>
      <c r="BT13" s="2"/>
      <c r="BU13" s="2"/>
      <c r="BV13" s="2"/>
      <c r="BW13" s="2"/>
      <c r="BX13" s="2"/>
      <c r="BY13" s="2"/>
      <c r="BZ13" s="2"/>
      <c r="CA13" s="2"/>
      <c r="CJ13" s="2"/>
      <c r="CK13" s="2"/>
      <c r="CL13" s="2"/>
      <c r="CM13" s="2"/>
      <c r="CQ13" s="2"/>
      <c r="CR13" s="2"/>
      <c r="CS13" s="2"/>
      <c r="CT13" s="2"/>
    </row>
    <row r="14" spans="20:98" ht="13.5">
      <c r="T14" s="1" t="s">
        <v>45</v>
      </c>
      <c r="U14" s="12" t="s">
        <v>46</v>
      </c>
      <c r="V14" s="12" t="s">
        <v>47</v>
      </c>
      <c r="W14" s="12" t="s">
        <v>48</v>
      </c>
      <c r="X14" s="12" t="s">
        <v>49</v>
      </c>
      <c r="Y14" s="12" t="s">
        <v>50</v>
      </c>
      <c r="AA14" s="1" t="s">
        <v>51</v>
      </c>
      <c r="AE14" s="13">
        <f>C143</f>
        <v>0.08</v>
      </c>
      <c r="AH14" s="1" t="s">
        <v>52</v>
      </c>
      <c r="BR14" s="2"/>
      <c r="BS14" s="2"/>
      <c r="BT14" s="2"/>
      <c r="BU14" s="2"/>
      <c r="BV14" s="2"/>
      <c r="BW14" s="2"/>
      <c r="BX14" s="2"/>
      <c r="BY14" s="2"/>
      <c r="BZ14" s="2"/>
      <c r="CA14" s="2"/>
      <c r="CJ14" s="2"/>
      <c r="CK14" s="2"/>
      <c r="CL14" s="2"/>
      <c r="CM14" s="2"/>
      <c r="CQ14" s="2"/>
      <c r="CR14" s="2"/>
      <c r="CS14" s="2"/>
      <c r="CT14" s="2"/>
    </row>
    <row r="15" spans="1:98" ht="13.5">
      <c r="A15" s="14" t="s">
        <v>53</v>
      </c>
      <c r="B15" s="14" t="s">
        <v>54</v>
      </c>
      <c r="C15" s="14" t="s">
        <v>55</v>
      </c>
      <c r="M15" s="1" t="s">
        <v>56</v>
      </c>
      <c r="Q15" s="1" t="s">
        <v>57</v>
      </c>
      <c r="T15" s="3" t="s">
        <v>58</v>
      </c>
      <c r="U15" s="3" t="s">
        <v>58</v>
      </c>
      <c r="V15" s="3" t="s">
        <v>58</v>
      </c>
      <c r="W15" s="3" t="s">
        <v>58</v>
      </c>
      <c r="X15" s="3" t="s">
        <v>58</v>
      </c>
      <c r="Y15" s="3" t="s">
        <v>58</v>
      </c>
      <c r="BR15" s="2"/>
      <c r="BS15" s="2"/>
      <c r="BT15" s="2"/>
      <c r="BU15" s="2"/>
      <c r="BV15" s="2"/>
      <c r="BW15" s="2"/>
      <c r="BX15" s="2"/>
      <c r="BY15" s="2"/>
      <c r="BZ15" s="2"/>
      <c r="CJ15" s="2"/>
      <c r="CK15" s="2"/>
      <c r="CL15" s="2"/>
      <c r="CM15" s="2"/>
      <c r="CQ15" s="2"/>
      <c r="CR15" s="2"/>
      <c r="CS15" s="2"/>
      <c r="CT15" s="2"/>
    </row>
    <row r="16" spans="1:98" ht="13.5">
      <c r="A16" s="1" t="s">
        <v>10</v>
      </c>
      <c r="B16" s="14" t="s">
        <v>59</v>
      </c>
      <c r="C16" s="14" t="s">
        <v>60</v>
      </c>
      <c r="AA16" s="1" t="s">
        <v>61</v>
      </c>
      <c r="AE16" s="15">
        <f>C144</f>
        <v>60</v>
      </c>
      <c r="AH16" s="1" t="s">
        <v>62</v>
      </c>
      <c r="BR16" s="2"/>
      <c r="BS16" s="2"/>
      <c r="BT16" s="2"/>
      <c r="BU16" s="2"/>
      <c r="BV16" s="2"/>
      <c r="BW16" s="2"/>
      <c r="BX16" s="2"/>
      <c r="BY16" s="2"/>
      <c r="BZ16" s="2"/>
      <c r="CJ16" s="2"/>
      <c r="CK16" s="2"/>
      <c r="CL16" s="2"/>
      <c r="CM16" s="2"/>
      <c r="CQ16" s="2"/>
      <c r="CR16" s="2"/>
      <c r="CS16" s="2"/>
      <c r="CT16" s="2"/>
    </row>
    <row r="17" spans="1:98" ht="13.5">
      <c r="A17" s="1" t="s">
        <v>63</v>
      </c>
      <c r="B17" s="16">
        <v>34000</v>
      </c>
      <c r="C17" s="16">
        <v>32300</v>
      </c>
      <c r="D17" s="15"/>
      <c r="E17" s="1" t="s">
        <v>64</v>
      </c>
      <c r="M17" s="1" t="s">
        <v>65</v>
      </c>
      <c r="N17" s="6">
        <f>C29</f>
        <v>206869</v>
      </c>
      <c r="O17" s="6"/>
      <c r="Q17" s="1" t="s">
        <v>66</v>
      </c>
      <c r="R17" s="6">
        <f>C45</f>
        <v>1523880</v>
      </c>
      <c r="V17" s="1" t="s">
        <v>67</v>
      </c>
      <c r="AJ17" s="5" t="str">
        <f>B6</f>
        <v> </v>
      </c>
      <c r="BR17" s="2"/>
      <c r="BS17" s="2"/>
      <c r="BT17" s="2"/>
      <c r="BU17" s="2"/>
      <c r="BV17" s="2"/>
      <c r="BW17" s="2"/>
      <c r="BX17" s="2"/>
      <c r="BY17" s="2"/>
      <c r="BZ17" s="2"/>
      <c r="CJ17" s="2"/>
      <c r="CK17" s="2"/>
      <c r="CL17" s="2"/>
      <c r="CM17" s="2"/>
      <c r="CQ17" s="2"/>
      <c r="CR17" s="2"/>
      <c r="CS17" s="2"/>
      <c r="CT17" s="2"/>
    </row>
    <row r="18" spans="1:98" ht="13.5">
      <c r="A18" s="1" t="s">
        <v>68</v>
      </c>
      <c r="B18" s="16">
        <v>36000</v>
      </c>
      <c r="C18" s="16">
        <v>34200</v>
      </c>
      <c r="D18" s="15"/>
      <c r="M18" s="1" t="s">
        <v>69</v>
      </c>
      <c r="N18" s="17">
        <f>IF(B29=0,0,(+N17/N19))</f>
        <v>0.8987270831523155</v>
      </c>
      <c r="O18" s="1" t="s">
        <v>70</v>
      </c>
      <c r="Q18" s="1" t="s">
        <v>71</v>
      </c>
      <c r="R18" s="18">
        <f>R17/R19</f>
        <v>0.13986324629434171</v>
      </c>
      <c r="U18" s="6"/>
      <c r="AA18" s="1" t="s">
        <v>72</v>
      </c>
      <c r="AE18" s="6">
        <f>C145</f>
        <v>19260.546934564154</v>
      </c>
      <c r="AJ18" s="5" t="str">
        <f>B8</f>
        <v>Same</v>
      </c>
      <c r="AT18" s="6"/>
      <c r="BR18" s="2"/>
      <c r="BS18" s="2"/>
      <c r="BT18" s="2"/>
      <c r="BU18" s="2"/>
      <c r="BV18" s="2"/>
      <c r="BW18" s="2"/>
      <c r="BX18" s="2"/>
      <c r="BY18" s="2"/>
      <c r="BZ18" s="2"/>
      <c r="CJ18" s="2"/>
      <c r="CK18" s="2"/>
      <c r="CL18" s="2"/>
      <c r="CM18" s="2"/>
      <c r="CQ18" s="2"/>
      <c r="CR18" s="2"/>
      <c r="CS18" s="2"/>
      <c r="CT18" s="2"/>
    </row>
    <row r="19" spans="1:98" ht="13.5">
      <c r="A19" s="1" t="s">
        <v>73</v>
      </c>
      <c r="B19" s="16">
        <v>35500</v>
      </c>
      <c r="C19" s="16">
        <v>33725</v>
      </c>
      <c r="D19" s="15"/>
      <c r="M19" s="1" t="s">
        <v>74</v>
      </c>
      <c r="N19" s="11">
        <f>B29</f>
        <v>230180</v>
      </c>
      <c r="O19" s="1" t="s">
        <v>75</v>
      </c>
      <c r="Q19" s="1" t="s">
        <v>76</v>
      </c>
      <c r="R19" s="11">
        <f>B45</f>
        <v>10895500</v>
      </c>
      <c r="T19" s="1" t="s">
        <v>77</v>
      </c>
      <c r="U19" s="6">
        <f>R46+R47</f>
        <v>1429418.0543063846</v>
      </c>
      <c r="V19" s="6">
        <f aca="true" t="shared" si="0" ref="V19:Y20">U19+(+U19*$W$50)</f>
        <v>1472300.5959355761</v>
      </c>
      <c r="W19" s="6">
        <f t="shared" si="0"/>
        <v>1516469.6138136433</v>
      </c>
      <c r="X19" s="6">
        <f t="shared" si="0"/>
        <v>1561963.7022280525</v>
      </c>
      <c r="Y19" s="6">
        <f t="shared" si="0"/>
        <v>1608822.613294894</v>
      </c>
      <c r="AJ19" s="5" t="str">
        <f>B9</f>
        <v>Same</v>
      </c>
      <c r="AT19" s="6"/>
      <c r="BR19" s="2"/>
      <c r="BS19" s="2"/>
      <c r="BT19" s="2"/>
      <c r="BU19" s="2"/>
      <c r="BV19" s="2"/>
      <c r="BW19" s="2"/>
      <c r="BX19" s="2"/>
      <c r="BY19" s="2"/>
      <c r="BZ19" s="2"/>
      <c r="CA19" s="2"/>
      <c r="CJ19" s="2"/>
      <c r="CK19" s="2"/>
      <c r="CL19" s="2"/>
      <c r="CM19" s="2"/>
      <c r="CQ19" s="2"/>
      <c r="CR19" s="2"/>
      <c r="CS19" s="2"/>
      <c r="CT19" s="2"/>
    </row>
    <row r="20" spans="1:98" ht="13.5">
      <c r="A20" s="1" t="s">
        <v>78</v>
      </c>
      <c r="B20" s="16">
        <v>25000</v>
      </c>
      <c r="C20" s="16">
        <v>22500</v>
      </c>
      <c r="D20" s="15"/>
      <c r="E20" s="19"/>
      <c r="M20" s="1" t="s">
        <v>79</v>
      </c>
      <c r="N20" s="20">
        <f>C70/100</f>
        <v>0.8</v>
      </c>
      <c r="Q20" s="1" t="s">
        <v>80</v>
      </c>
      <c r="R20" s="6">
        <f>C61</f>
        <v>200827</v>
      </c>
      <c r="T20" s="1" t="s">
        <v>81</v>
      </c>
      <c r="U20" s="6">
        <f>F224</f>
        <v>165495.19999999998</v>
      </c>
      <c r="V20" s="6">
        <f t="shared" si="0"/>
        <v>170460.05599999998</v>
      </c>
      <c r="W20" s="6">
        <f t="shared" si="0"/>
        <v>175573.85768</v>
      </c>
      <c r="X20" s="6">
        <f t="shared" si="0"/>
        <v>180841.0734104</v>
      </c>
      <c r="Y20" s="6">
        <f t="shared" si="0"/>
        <v>186266.305612712</v>
      </c>
      <c r="AA20" s="1" t="s">
        <v>82</v>
      </c>
      <c r="AB20" s="6"/>
      <c r="AD20" s="6"/>
      <c r="AE20" s="6">
        <f>AE10-AE18</f>
        <v>60881.932590967896</v>
      </c>
      <c r="AH20" s="1" t="s">
        <v>83</v>
      </c>
      <c r="BR20" s="2"/>
      <c r="BS20" s="2"/>
      <c r="BT20" s="2"/>
      <c r="BU20" s="2"/>
      <c r="BV20" s="2"/>
      <c r="BW20" s="2"/>
      <c r="BX20" s="2"/>
      <c r="BY20" s="2"/>
      <c r="BZ20" s="2"/>
      <c r="CA20" s="2"/>
      <c r="CJ20" s="2"/>
      <c r="CK20" s="2"/>
      <c r="CL20" s="2"/>
      <c r="CM20" s="2"/>
      <c r="CQ20" s="2"/>
      <c r="CR20" s="2"/>
      <c r="CS20" s="2"/>
      <c r="CT20" s="2"/>
    </row>
    <row r="21" spans="1:98" ht="13.5">
      <c r="A21" s="1" t="s">
        <v>84</v>
      </c>
      <c r="B21" s="16">
        <v>18300</v>
      </c>
      <c r="C21" s="16">
        <v>16470</v>
      </c>
      <c r="D21" s="15" t="s">
        <v>10</v>
      </c>
      <c r="E21" s="19"/>
      <c r="M21" s="1" t="s">
        <v>85</v>
      </c>
      <c r="N21" s="11">
        <f>N19*N20</f>
        <v>184144</v>
      </c>
      <c r="O21" s="1" t="s">
        <v>75</v>
      </c>
      <c r="Q21" s="1" t="s">
        <v>86</v>
      </c>
      <c r="R21" s="21">
        <f>C65</f>
        <v>11.17879209574172</v>
      </c>
      <c r="T21" s="1" t="s">
        <v>87</v>
      </c>
      <c r="U21" s="6">
        <v>57000</v>
      </c>
      <c r="V21" s="6">
        <f>$U$21</f>
        <v>57000</v>
      </c>
      <c r="W21" s="6">
        <f>$U$21</f>
        <v>57000</v>
      </c>
      <c r="X21" s="6">
        <f>$U$21</f>
        <v>57000</v>
      </c>
      <c r="Y21" s="6">
        <f>$U$21</f>
        <v>57000</v>
      </c>
      <c r="AT21" s="6"/>
      <c r="BR21" s="2"/>
      <c r="BS21" s="2"/>
      <c r="BT21" s="2"/>
      <c r="BU21" s="2"/>
      <c r="BV21" s="2"/>
      <c r="BW21" s="2"/>
      <c r="BX21" s="2"/>
      <c r="BY21" s="2"/>
      <c r="BZ21" s="2"/>
      <c r="CA21" s="2"/>
      <c r="CJ21" s="2"/>
      <c r="CK21" s="2"/>
      <c r="CL21" s="2"/>
      <c r="CM21" s="2"/>
      <c r="CQ21" s="2"/>
      <c r="CR21" s="2"/>
      <c r="CS21" s="2"/>
      <c r="CT21" s="2"/>
    </row>
    <row r="22" spans="1:98" ht="13.5">
      <c r="A22" s="1" t="s">
        <v>88</v>
      </c>
      <c r="B22" s="16">
        <v>13680</v>
      </c>
      <c r="C22" s="16">
        <v>10944</v>
      </c>
      <c r="D22" s="15"/>
      <c r="E22" s="19"/>
      <c r="M22" s="1" t="s">
        <v>89</v>
      </c>
      <c r="N22" s="6">
        <f>SUM(N17*N20)</f>
        <v>165495.2</v>
      </c>
      <c r="Q22" s="1" t="s">
        <v>90</v>
      </c>
      <c r="R22" s="5">
        <f>B61</f>
        <v>17965</v>
      </c>
      <c r="T22" s="3" t="s">
        <v>58</v>
      </c>
      <c r="U22" s="3" t="s">
        <v>58</v>
      </c>
      <c r="V22" s="3" t="s">
        <v>58</v>
      </c>
      <c r="W22" s="3" t="s">
        <v>58</v>
      </c>
      <c r="X22" s="3" t="s">
        <v>58</v>
      </c>
      <c r="Y22" s="3" t="s">
        <v>58</v>
      </c>
      <c r="AA22" s="1" t="s">
        <v>91</v>
      </c>
      <c r="AE22" s="6">
        <f>AE18*AE16</f>
        <v>1155632.8160738493</v>
      </c>
      <c r="AH22" s="1" t="s">
        <v>92</v>
      </c>
      <c r="AS22" s="6"/>
      <c r="BR22" s="2"/>
      <c r="BS22" s="2"/>
      <c r="BT22" s="2"/>
      <c r="BU22" s="2"/>
      <c r="BV22" s="2"/>
      <c r="BW22" s="2"/>
      <c r="BX22" s="2"/>
      <c r="BY22" s="2"/>
      <c r="BZ22" s="2"/>
      <c r="CA22" s="2"/>
      <c r="CJ22" s="2"/>
      <c r="CK22" s="2"/>
      <c r="CL22" s="2"/>
      <c r="CM22" s="2"/>
      <c r="CQ22" s="2"/>
      <c r="CR22" s="2"/>
      <c r="CS22" s="2"/>
      <c r="CT22" s="2"/>
    </row>
    <row r="23" spans="1:98" ht="13.5">
      <c r="A23" s="1" t="s">
        <v>93</v>
      </c>
      <c r="B23" s="16">
        <v>8700</v>
      </c>
      <c r="C23" s="16">
        <v>6090</v>
      </c>
      <c r="D23" s="15"/>
      <c r="E23" s="19"/>
      <c r="AH23" s="1" t="s">
        <v>94</v>
      </c>
      <c r="AI23" s="1" t="s">
        <v>95</v>
      </c>
      <c r="AS23" s="6"/>
      <c r="BR23" s="2"/>
      <c r="BS23" s="2"/>
      <c r="BT23" s="2"/>
      <c r="BU23" s="2"/>
      <c r="BV23" s="2"/>
      <c r="BW23" s="2"/>
      <c r="BX23" s="2"/>
      <c r="BY23" s="2"/>
      <c r="BZ23" s="2"/>
      <c r="CA23" s="2"/>
      <c r="CJ23" s="2"/>
      <c r="CK23" s="2"/>
      <c r="CL23" s="2"/>
      <c r="CM23" s="2"/>
      <c r="CQ23" s="2"/>
      <c r="CR23" s="2"/>
      <c r="CS23" s="2"/>
      <c r="CT23" s="2"/>
    </row>
    <row r="24" spans="1:98" ht="13.5">
      <c r="A24" s="1" t="s">
        <v>96</v>
      </c>
      <c r="B24" s="16">
        <v>5600</v>
      </c>
      <c r="C24" s="16">
        <v>3920</v>
      </c>
      <c r="D24" s="15"/>
      <c r="E24" s="19"/>
      <c r="M24" s="1" t="s">
        <v>97</v>
      </c>
      <c r="Q24" s="1" t="s">
        <v>98</v>
      </c>
      <c r="T24" s="1" t="s">
        <v>99</v>
      </c>
      <c r="U24" s="6">
        <f>SUM(U19:U21)</f>
        <v>1651913.2543063846</v>
      </c>
      <c r="V24" s="6">
        <f>SUM(V19:V21)</f>
        <v>1699760.651935576</v>
      </c>
      <c r="W24" s="6">
        <f>SUM(W19:W21)</f>
        <v>1749043.4714936432</v>
      </c>
      <c r="X24" s="6">
        <f>SUM(X19:X21)</f>
        <v>1799804.7756384525</v>
      </c>
      <c r="Y24" s="6">
        <f>SUM(Y19:Y21)</f>
        <v>1852088.918907606</v>
      </c>
      <c r="AA24" s="1" t="s">
        <v>100</v>
      </c>
      <c r="AE24" s="6">
        <f>Y40-C139</f>
        <v>4737312.236909058</v>
      </c>
      <c r="AH24" s="1" t="s">
        <v>101</v>
      </c>
      <c r="AI24" s="1" t="s">
        <v>102</v>
      </c>
      <c r="AO24" s="5">
        <f>R27</f>
        <v>1063</v>
      </c>
      <c r="AS24" s="6"/>
      <c r="BR24" s="2"/>
      <c r="BS24" s="2"/>
      <c r="BT24" s="2"/>
      <c r="BU24" s="2"/>
      <c r="BV24" s="2"/>
      <c r="BW24" s="2"/>
      <c r="BX24" s="2"/>
      <c r="BY24" s="2"/>
      <c r="BZ24" s="2"/>
      <c r="CA24" s="2"/>
      <c r="CJ24" s="2"/>
      <c r="CK24" s="2"/>
      <c r="CL24" s="2"/>
      <c r="CM24" s="2"/>
      <c r="CQ24" s="2"/>
      <c r="CR24" s="2"/>
      <c r="CS24" s="2"/>
      <c r="CT24" s="2"/>
    </row>
    <row r="25" spans="1:98" ht="13.5">
      <c r="A25" s="1" t="s">
        <v>103</v>
      </c>
      <c r="B25" s="16">
        <v>4500</v>
      </c>
      <c r="C25" s="16">
        <v>3150</v>
      </c>
      <c r="D25" s="15"/>
      <c r="E25" s="19"/>
      <c r="T25" s="3" t="s">
        <v>58</v>
      </c>
      <c r="U25" s="3" t="s">
        <v>58</v>
      </c>
      <c r="V25" s="3" t="s">
        <v>58</v>
      </c>
      <c r="W25" s="3" t="s">
        <v>58</v>
      </c>
      <c r="X25" s="3" t="s">
        <v>58</v>
      </c>
      <c r="Y25" s="3" t="s">
        <v>58</v>
      </c>
      <c r="AH25" s="1" t="s">
        <v>104</v>
      </c>
      <c r="AO25" s="11">
        <f>N29*100000</f>
        <v>4600000</v>
      </c>
      <c r="AS25" s="6"/>
      <c r="BR25" s="2"/>
      <c r="BS25" s="2"/>
      <c r="BT25" s="2"/>
      <c r="BU25" s="2"/>
      <c r="BV25" s="2"/>
      <c r="BW25" s="2"/>
      <c r="BX25" s="2"/>
      <c r="BY25" s="2"/>
      <c r="BZ25" s="2"/>
      <c r="CA25" s="2"/>
      <c r="CJ25" s="2"/>
      <c r="CK25" s="2"/>
      <c r="CL25" s="2"/>
      <c r="CM25" s="2"/>
      <c r="CQ25" s="2"/>
      <c r="CR25" s="2"/>
      <c r="CS25" s="2"/>
      <c r="CT25" s="2"/>
    </row>
    <row r="26" spans="1:98" ht="13.5">
      <c r="A26" s="1" t="s">
        <v>105</v>
      </c>
      <c r="B26" s="16">
        <v>5000</v>
      </c>
      <c r="C26" s="16">
        <v>3500</v>
      </c>
      <c r="D26" s="15"/>
      <c r="E26" s="19"/>
      <c r="M26" s="1" t="s">
        <v>106</v>
      </c>
      <c r="N26" s="20">
        <f>C71/100</f>
        <v>0.85</v>
      </c>
      <c r="Q26" s="1" t="s">
        <v>107</v>
      </c>
      <c r="R26" s="11">
        <f>C88</f>
        <v>7800</v>
      </c>
      <c r="AA26" s="1" t="s">
        <v>108</v>
      </c>
      <c r="AD26" s="6"/>
      <c r="AE26" s="6">
        <f>N241</f>
        <v>10803478.504004594</v>
      </c>
      <c r="AI26" s="1" t="s">
        <v>109</v>
      </c>
      <c r="AO26" s="11">
        <f>N38*100</f>
        <v>9673</v>
      </c>
      <c r="AS26" s="6"/>
      <c r="BR26" s="2"/>
      <c r="BS26" s="2"/>
      <c r="BT26" s="2"/>
      <c r="BU26" s="2"/>
      <c r="BV26" s="2"/>
      <c r="BW26" s="2"/>
      <c r="BX26" s="2"/>
      <c r="BY26" s="2"/>
      <c r="BZ26" s="2"/>
      <c r="CA26" s="2"/>
      <c r="CJ26" s="2"/>
      <c r="CK26" s="2"/>
      <c r="CL26" s="2"/>
      <c r="CM26" s="2"/>
      <c r="CQ26" s="2"/>
      <c r="CR26" s="2"/>
      <c r="CS26" s="2"/>
      <c r="CT26" s="2"/>
    </row>
    <row r="27" spans="1:98" ht="13.5">
      <c r="A27" s="1" t="s">
        <v>110</v>
      </c>
      <c r="B27" s="16">
        <v>10900</v>
      </c>
      <c r="C27" s="16">
        <v>8720</v>
      </c>
      <c r="D27" s="15"/>
      <c r="E27" s="19"/>
      <c r="M27" s="1" t="s">
        <v>111</v>
      </c>
      <c r="N27" s="11">
        <f>SUM(N21*N26)</f>
        <v>156522.4</v>
      </c>
      <c r="O27" s="1" t="s">
        <v>75</v>
      </c>
      <c r="Q27" s="1" t="s">
        <v>112</v>
      </c>
      <c r="R27" s="22">
        <f>C83</f>
        <v>1063</v>
      </c>
      <c r="V27" s="1" t="s">
        <v>113</v>
      </c>
      <c r="AA27" s="2"/>
      <c r="AI27" s="1" t="s">
        <v>114</v>
      </c>
      <c r="AS27" s="6"/>
      <c r="BR27" s="2"/>
      <c r="BS27" s="2"/>
      <c r="BT27" s="2"/>
      <c r="BU27" s="2"/>
      <c r="BV27" s="2"/>
      <c r="BW27" s="2"/>
      <c r="BX27" s="2"/>
      <c r="BY27" s="2"/>
      <c r="BZ27" s="2"/>
      <c r="CA27" s="2"/>
      <c r="CJ27" s="2"/>
      <c r="CK27" s="2"/>
      <c r="CL27" s="2"/>
      <c r="CM27" s="2"/>
      <c r="CQ27" s="2"/>
      <c r="CR27" s="2"/>
      <c r="CS27" s="2"/>
      <c r="CT27" s="2"/>
    </row>
    <row r="28" spans="1:98" ht="13.5">
      <c r="A28" s="1" t="s">
        <v>115</v>
      </c>
      <c r="B28" s="16">
        <v>33000</v>
      </c>
      <c r="C28" s="16">
        <v>31350</v>
      </c>
      <c r="D28" s="15"/>
      <c r="E28" s="19"/>
      <c r="M28" s="1" t="s">
        <v>116</v>
      </c>
      <c r="N28" s="5">
        <f>C76</f>
        <v>0</v>
      </c>
      <c r="O28" s="1" t="s">
        <v>75</v>
      </c>
      <c r="Q28" s="1" t="s">
        <v>117</v>
      </c>
      <c r="R28" s="11">
        <f>SUM(R26*R27)</f>
        <v>8291400</v>
      </c>
      <c r="AA28" s="2"/>
      <c r="AK28" s="5" t="str">
        <f>B3</f>
        <v>Any Street</v>
      </c>
      <c r="AS28" s="6"/>
      <c r="AT28" s="6"/>
      <c r="BR28" s="2"/>
      <c r="BS28" s="2"/>
      <c r="BT28" s="2"/>
      <c r="BU28" s="2"/>
      <c r="BV28" s="2"/>
      <c r="BW28" s="2"/>
      <c r="BX28" s="2"/>
      <c r="BY28" s="2"/>
      <c r="BZ28" s="2"/>
      <c r="CA28" s="2"/>
      <c r="CJ28" s="2"/>
      <c r="CK28" s="2"/>
      <c r="CL28" s="2"/>
      <c r="CM28" s="2"/>
      <c r="CQ28" s="2"/>
      <c r="CR28" s="2"/>
      <c r="CS28" s="2"/>
      <c r="CT28" s="2"/>
    </row>
    <row r="29" spans="1:98" ht="13.5">
      <c r="A29" s="1" t="s">
        <v>118</v>
      </c>
      <c r="B29" s="15">
        <f>SUM(B17:B28)</f>
        <v>230180</v>
      </c>
      <c r="C29" s="6">
        <f>SUM(C17:C28)</f>
        <v>206869</v>
      </c>
      <c r="D29" s="15"/>
      <c r="E29" s="19"/>
      <c r="M29" s="1" t="s">
        <v>119</v>
      </c>
      <c r="N29" s="19">
        <f>C85</f>
        <v>46</v>
      </c>
      <c r="O29" s="1" t="s">
        <v>120</v>
      </c>
      <c r="Q29" s="1" t="s">
        <v>121</v>
      </c>
      <c r="R29" s="18">
        <f>R18</f>
        <v>0.13986324629434171</v>
      </c>
      <c r="T29" s="1" t="s">
        <v>122</v>
      </c>
      <c r="U29" s="6">
        <f>N41</f>
        <v>565870.5</v>
      </c>
      <c r="V29" s="6">
        <f>SUM(U29*$W$50)+U29</f>
        <v>582846.615</v>
      </c>
      <c r="W29" s="6">
        <f>SUM(V29*$W$50)+V29</f>
        <v>600332.01345</v>
      </c>
      <c r="X29" s="6">
        <f>SUM(W29*$W$50)+W29</f>
        <v>618341.9738535</v>
      </c>
      <c r="Y29" s="6">
        <f>SUM(X29*$W$50)+X29</f>
        <v>636892.233069105</v>
      </c>
      <c r="AA29" s="2"/>
      <c r="AK29" s="5" t="str">
        <f>B4</f>
        <v>Any Town USA</v>
      </c>
      <c r="BR29" s="2"/>
      <c r="BS29" s="2"/>
      <c r="BT29" s="2"/>
      <c r="BU29" s="2"/>
      <c r="BV29" s="2"/>
      <c r="BW29" s="2"/>
      <c r="BX29" s="2"/>
      <c r="BY29" s="2"/>
      <c r="BZ29" s="2"/>
      <c r="CA29" s="2"/>
      <c r="CJ29" s="2"/>
      <c r="CK29" s="2"/>
      <c r="CL29" s="2"/>
      <c r="CM29" s="2"/>
      <c r="CQ29" s="2"/>
      <c r="CR29" s="2"/>
      <c r="CS29" s="2"/>
      <c r="CT29" s="2"/>
    </row>
    <row r="30" spans="5:98" ht="13.5">
      <c r="E30" s="19"/>
      <c r="M30" s="1" t="s">
        <v>123</v>
      </c>
      <c r="N30" s="11">
        <f>SUM(N27:N28)/N29</f>
        <v>3402.660869565217</v>
      </c>
      <c r="O30" s="1" t="s">
        <v>124</v>
      </c>
      <c r="Q30" s="1" t="s">
        <v>125</v>
      </c>
      <c r="R30" s="5">
        <f>IF((D229&lt;1),0,D229)</f>
        <v>0</v>
      </c>
      <c r="T30" s="1" t="s">
        <v>126</v>
      </c>
      <c r="U30" s="6">
        <v>124333</v>
      </c>
      <c r="V30" s="6">
        <v>124333</v>
      </c>
      <c r="W30" s="6">
        <v>124333</v>
      </c>
      <c r="X30" s="6">
        <v>130550</v>
      </c>
      <c r="Y30" s="6">
        <f>SUM(X30*$W$50)+X30</f>
        <v>134466.5</v>
      </c>
      <c r="AI30" s="1" t="s">
        <v>127</v>
      </c>
      <c r="AO30" s="5">
        <f>N31</f>
        <v>7800</v>
      </c>
      <c r="BR30" s="2"/>
      <c r="BS30" s="2"/>
      <c r="BT30" s="2"/>
      <c r="BU30" s="2"/>
      <c r="BV30" s="2"/>
      <c r="BW30" s="2"/>
      <c r="BX30" s="2"/>
      <c r="BY30" s="2"/>
      <c r="BZ30" s="2"/>
      <c r="CA30" s="2"/>
      <c r="CJ30" s="2"/>
      <c r="CK30" s="2"/>
      <c r="CL30" s="2"/>
      <c r="CM30" s="2"/>
      <c r="CQ30" s="2"/>
      <c r="CR30" s="2"/>
      <c r="CS30" s="2"/>
      <c r="CT30" s="2"/>
    </row>
    <row r="31" spans="1:98" ht="13.5">
      <c r="A31" s="14" t="s">
        <v>53</v>
      </c>
      <c r="B31" s="14" t="s">
        <v>128</v>
      </c>
      <c r="C31" s="14" t="s">
        <v>55</v>
      </c>
      <c r="E31" s="19"/>
      <c r="M31" s="1" t="s">
        <v>129</v>
      </c>
      <c r="N31" s="11">
        <f>C88</f>
        <v>7800</v>
      </c>
      <c r="O31" s="1" t="s">
        <v>124</v>
      </c>
      <c r="Q31" s="1" t="s">
        <v>130</v>
      </c>
      <c r="R31" s="17">
        <f>C69</f>
        <v>0.02</v>
      </c>
      <c r="T31" s="3" t="s">
        <v>58</v>
      </c>
      <c r="U31" s="3" t="s">
        <v>58</v>
      </c>
      <c r="V31" s="3" t="s">
        <v>58</v>
      </c>
      <c r="W31" s="3" t="s">
        <v>58</v>
      </c>
      <c r="X31" s="3" t="s">
        <v>58</v>
      </c>
      <c r="Y31" s="3" t="s">
        <v>58</v>
      </c>
      <c r="AI31" s="1" t="s">
        <v>131</v>
      </c>
      <c r="AS31" s="6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J31" s="2"/>
      <c r="CK31" s="2"/>
      <c r="CL31" s="2"/>
      <c r="CM31" s="2"/>
      <c r="CQ31" s="2"/>
      <c r="CR31" s="2"/>
      <c r="CS31" s="2"/>
      <c r="CT31" s="2"/>
    </row>
    <row r="32" spans="1:78" ht="13.5">
      <c r="A32" s="1" t="s">
        <v>10</v>
      </c>
      <c r="B32" s="14" t="s">
        <v>132</v>
      </c>
      <c r="C32" s="14" t="s">
        <v>60</v>
      </c>
      <c r="E32" s="19"/>
      <c r="M32" s="1" t="s">
        <v>133</v>
      </c>
      <c r="N32" s="11">
        <f>N29*N30</f>
        <v>156522.4</v>
      </c>
      <c r="O32" s="1" t="s">
        <v>75</v>
      </c>
      <c r="Q32" s="1" t="s">
        <v>134</v>
      </c>
      <c r="R32" s="6">
        <f>IF((R30&lt;1),(R28*R18),D218)</f>
        <v>1159662.1203249048</v>
      </c>
      <c r="AS32" s="6"/>
      <c r="BR32" s="2"/>
      <c r="BS32" s="2"/>
      <c r="BT32" s="2"/>
      <c r="BU32" s="2"/>
      <c r="BV32" s="2"/>
      <c r="BW32" s="2"/>
      <c r="BX32" s="2"/>
      <c r="BY32" s="2"/>
      <c r="BZ32" s="2"/>
    </row>
    <row r="33" spans="1:78" ht="13.5">
      <c r="A33" s="1" t="s">
        <v>63</v>
      </c>
      <c r="B33" s="16">
        <v>850000</v>
      </c>
      <c r="C33" s="16">
        <v>102000</v>
      </c>
      <c r="E33" s="1" t="s">
        <v>64</v>
      </c>
      <c r="M33" s="1" t="s">
        <v>135</v>
      </c>
      <c r="N33" s="6">
        <f>F224</f>
        <v>165495.19999999998</v>
      </c>
      <c r="T33" s="1" t="s">
        <v>136</v>
      </c>
      <c r="U33" s="6">
        <f>U29+U30</f>
        <v>690203.5</v>
      </c>
      <c r="V33" s="6">
        <f>V29+V30</f>
        <v>707179.615</v>
      </c>
      <c r="W33" s="6">
        <f>W29+W30</f>
        <v>724665.01345</v>
      </c>
      <c r="X33" s="6">
        <f>X29+X30</f>
        <v>748891.9738535</v>
      </c>
      <c r="Y33" s="6">
        <f>Y29+Y30</f>
        <v>771358.733069105</v>
      </c>
      <c r="AF33" s="6"/>
      <c r="AI33" s="1" t="s">
        <v>137</v>
      </c>
      <c r="AO33" s="11">
        <f>(+Q235*Q236)/1000000</f>
        <v>69262.5492</v>
      </c>
      <c r="AS33" s="6"/>
      <c r="BR33" s="2"/>
      <c r="BS33" s="2"/>
      <c r="BT33" s="2"/>
      <c r="BU33" s="2"/>
      <c r="BV33" s="2"/>
      <c r="BW33" s="2"/>
      <c r="BX33" s="2"/>
      <c r="BY33" s="2"/>
      <c r="BZ33" s="2"/>
    </row>
    <row r="34" spans="1:78" ht="13.5">
      <c r="A34" s="1" t="s">
        <v>68</v>
      </c>
      <c r="B34" s="16">
        <v>825000</v>
      </c>
      <c r="C34" s="16">
        <v>99000</v>
      </c>
      <c r="E34" s="1" t="s">
        <v>138</v>
      </c>
      <c r="T34" s="3" t="s">
        <v>58</v>
      </c>
      <c r="U34" s="3" t="s">
        <v>58</v>
      </c>
      <c r="V34" s="3" t="s">
        <v>58</v>
      </c>
      <c r="W34" s="3" t="s">
        <v>58</v>
      </c>
      <c r="X34" s="3" t="s">
        <v>58</v>
      </c>
      <c r="Y34" s="3" t="s">
        <v>58</v>
      </c>
      <c r="AB34" s="11"/>
      <c r="AD34" s="6"/>
      <c r="AE34" s="6"/>
      <c r="AF34" s="6"/>
      <c r="AI34" s="1" t="s">
        <v>139</v>
      </c>
      <c r="AO34" s="11">
        <f>((R27*3413)*N31)/1000000</f>
        <v>28298.5482</v>
      </c>
      <c r="AS34" s="6"/>
      <c r="BR34" s="2"/>
      <c r="BS34" s="2"/>
      <c r="BT34" s="2"/>
      <c r="BU34" s="2"/>
      <c r="BV34" s="2"/>
      <c r="BW34" s="2"/>
      <c r="BX34" s="2"/>
      <c r="BY34" s="2"/>
      <c r="BZ34" s="2"/>
    </row>
    <row r="35" spans="1:78" ht="13.5">
      <c r="A35" s="1" t="s">
        <v>73</v>
      </c>
      <c r="B35" s="16">
        <v>860000</v>
      </c>
      <c r="C35" s="16">
        <v>103200</v>
      </c>
      <c r="M35" s="1" t="s">
        <v>140</v>
      </c>
      <c r="Q35" s="1" t="s">
        <v>141</v>
      </c>
      <c r="AB35" s="6"/>
      <c r="AD35" s="6"/>
      <c r="AE35" s="6"/>
      <c r="AF35" s="6"/>
      <c r="AI35" s="1" t="s">
        <v>142</v>
      </c>
      <c r="AO35" s="11">
        <f>Q245</f>
        <v>14368.756319999999</v>
      </c>
      <c r="AS35" s="6"/>
      <c r="BR35" s="2"/>
      <c r="BS35" s="2"/>
      <c r="BT35" s="2"/>
      <c r="BU35" s="2"/>
      <c r="BV35" s="2"/>
      <c r="BW35" s="2"/>
      <c r="BX35" s="2"/>
      <c r="BY35" s="2"/>
      <c r="BZ35" s="2"/>
    </row>
    <row r="36" spans="1:78" ht="13.5">
      <c r="A36" s="1" t="s">
        <v>78</v>
      </c>
      <c r="B36" s="16">
        <v>870000</v>
      </c>
      <c r="C36" s="16">
        <v>104400</v>
      </c>
      <c r="T36" s="1" t="s">
        <v>143</v>
      </c>
      <c r="U36" s="6">
        <f>U24-U33</f>
        <v>961709.7543063846</v>
      </c>
      <c r="V36" s="6">
        <f>V24-V33</f>
        <v>992581.036935576</v>
      </c>
      <c r="W36" s="6">
        <f>W24-W33</f>
        <v>1024378.4580436433</v>
      </c>
      <c r="X36" s="6">
        <f>X24-X33</f>
        <v>1050912.8017849526</v>
      </c>
      <c r="Y36" s="6">
        <f>Y24-Y33</f>
        <v>1080730.185838501</v>
      </c>
      <c r="AF36" s="6"/>
      <c r="AI36" s="1" t="s">
        <v>144</v>
      </c>
      <c r="AO36" s="23">
        <f>((0.5*Q243)+AO34)/AO33</f>
        <v>0.5122959921319211</v>
      </c>
      <c r="AS36" s="6"/>
      <c r="BR36" s="2"/>
      <c r="BS36" s="2"/>
      <c r="BT36" s="2"/>
      <c r="BU36" s="2"/>
      <c r="BV36" s="2"/>
      <c r="BW36" s="2"/>
      <c r="BX36" s="2"/>
      <c r="BY36" s="2"/>
      <c r="BZ36" s="2"/>
    </row>
    <row r="37" spans="1:78" ht="13.5">
      <c r="A37" s="1" t="s">
        <v>84</v>
      </c>
      <c r="B37" s="16">
        <v>900000</v>
      </c>
      <c r="C37" s="16">
        <v>144000</v>
      </c>
      <c r="M37" s="1" t="s">
        <v>129</v>
      </c>
      <c r="N37" s="11">
        <f>C88</f>
        <v>7800</v>
      </c>
      <c r="O37" s="1" t="s">
        <v>124</v>
      </c>
      <c r="Q37" s="1" t="s">
        <v>145</v>
      </c>
      <c r="R37" s="15">
        <f>R27*12</f>
        <v>12756</v>
      </c>
      <c r="T37" s="3" t="s">
        <v>58</v>
      </c>
      <c r="U37" s="3" t="s">
        <v>58</v>
      </c>
      <c r="V37" s="3" t="s">
        <v>58</v>
      </c>
      <c r="W37" s="3" t="s">
        <v>58</v>
      </c>
      <c r="X37" s="3" t="s">
        <v>58</v>
      </c>
      <c r="Y37" s="3" t="s">
        <v>58</v>
      </c>
      <c r="AF37" s="6"/>
      <c r="AU37" s="6"/>
      <c r="BR37" s="2"/>
      <c r="BS37" s="2"/>
      <c r="BT37" s="2"/>
      <c r="BU37" s="2"/>
      <c r="BV37" s="2"/>
      <c r="BW37" s="2"/>
      <c r="BX37" s="2"/>
      <c r="BY37" s="2"/>
      <c r="BZ37" s="2"/>
    </row>
    <row r="38" spans="1:78" ht="13.5">
      <c r="A38" s="1" t="s">
        <v>88</v>
      </c>
      <c r="B38" s="16">
        <v>920000</v>
      </c>
      <c r="C38" s="16">
        <v>147200</v>
      </c>
      <c r="M38" s="1" t="s">
        <v>146</v>
      </c>
      <c r="N38" s="19">
        <f>C84</f>
        <v>96.73</v>
      </c>
      <c r="O38" s="1" t="s">
        <v>120</v>
      </c>
      <c r="Q38" s="1" t="s">
        <v>147</v>
      </c>
      <c r="R38" s="21">
        <f>C65</f>
        <v>11.17879209574172</v>
      </c>
      <c r="T38" s="1" t="s">
        <v>148</v>
      </c>
      <c r="AF38" s="6"/>
      <c r="AH38" s="1" t="s">
        <v>149</v>
      </c>
      <c r="AM38" s="5" t="str">
        <f>C155</f>
        <v>Natural Gas</v>
      </c>
      <c r="BR38" s="2"/>
      <c r="BS38" s="2"/>
      <c r="BT38" s="2"/>
      <c r="BU38" s="2"/>
      <c r="BV38" s="2"/>
      <c r="BW38" s="2"/>
      <c r="BX38" s="2"/>
      <c r="BY38" s="2"/>
      <c r="BZ38" s="2"/>
    </row>
    <row r="39" spans="1:78" ht="13.5">
      <c r="A39" s="1" t="s">
        <v>93</v>
      </c>
      <c r="B39" s="16">
        <v>980000</v>
      </c>
      <c r="C39" s="16">
        <v>144000</v>
      </c>
      <c r="M39" s="1" t="s">
        <v>150</v>
      </c>
      <c r="N39" s="11">
        <f>N31*N38</f>
        <v>754494</v>
      </c>
      <c r="O39" s="1" t="s">
        <v>75</v>
      </c>
      <c r="Q39" s="1" t="s">
        <v>151</v>
      </c>
      <c r="R39" s="6">
        <f>(R37*R38)*1</f>
        <v>142596.67197328137</v>
      </c>
      <c r="T39" s="1" t="s">
        <v>152</v>
      </c>
      <c r="AF39" s="6"/>
      <c r="AH39" s="1" t="s">
        <v>153</v>
      </c>
      <c r="AM39" s="5" t="str">
        <f>C157</f>
        <v> </v>
      </c>
      <c r="BR39" s="2"/>
      <c r="BS39" s="2"/>
      <c r="BT39" s="2"/>
      <c r="BU39" s="2"/>
      <c r="BV39" s="2"/>
      <c r="BW39" s="2"/>
      <c r="BX39" s="2"/>
      <c r="BY39" s="2"/>
      <c r="BZ39" s="2"/>
    </row>
    <row r="40" spans="1:78" ht="13.5">
      <c r="A40" s="1" t="s">
        <v>96</v>
      </c>
      <c r="B40" s="16">
        <v>1000500</v>
      </c>
      <c r="C40" s="16">
        <v>160080</v>
      </c>
      <c r="M40" s="1" t="s">
        <v>154</v>
      </c>
      <c r="N40" s="19">
        <f>C96</f>
        <v>0.75</v>
      </c>
      <c r="O40" s="1" t="s">
        <v>70</v>
      </c>
      <c r="Q40" s="1" t="s">
        <v>155</v>
      </c>
      <c r="R40" s="21">
        <f>C68</f>
        <v>3.3</v>
      </c>
      <c r="T40" s="1" t="s">
        <v>156</v>
      </c>
      <c r="U40" s="6">
        <f>U36</f>
        <v>961709.7543063846</v>
      </c>
      <c r="V40" s="6">
        <f>U40+V36</f>
        <v>1954290.7912419606</v>
      </c>
      <c r="W40" s="6">
        <f>V40+W36</f>
        <v>2978669.249285604</v>
      </c>
      <c r="X40" s="6">
        <f>W40+X36</f>
        <v>4029582.0510705565</v>
      </c>
      <c r="Y40" s="6">
        <f>X40+Y36</f>
        <v>5110312.236909058</v>
      </c>
      <c r="AH40" s="1" t="s">
        <v>157</v>
      </c>
      <c r="AO40" s="11">
        <f>C156</f>
        <v>0</v>
      </c>
      <c r="AT40" s="6"/>
      <c r="BR40" s="2"/>
      <c r="BS40" s="2"/>
      <c r="BT40" s="2"/>
      <c r="BU40" s="2"/>
      <c r="BV40" s="2"/>
      <c r="BW40" s="2"/>
      <c r="BX40" s="2"/>
      <c r="BY40" s="2"/>
      <c r="BZ40" s="2"/>
    </row>
    <row r="41" spans="1:78" ht="13.5">
      <c r="A41" s="1" t="s">
        <v>103</v>
      </c>
      <c r="B41" s="16">
        <v>990000</v>
      </c>
      <c r="C41" s="16">
        <v>158400</v>
      </c>
      <c r="M41" s="1" t="s">
        <v>158</v>
      </c>
      <c r="N41" s="6">
        <f>SUM(N39*N40)</f>
        <v>565870.5</v>
      </c>
      <c r="Q41" s="1" t="s">
        <v>159</v>
      </c>
      <c r="R41" s="6">
        <f>C68*R37</f>
        <v>42094.799999999996</v>
      </c>
      <c r="T41" s="3" t="s">
        <v>4</v>
      </c>
      <c r="U41" s="3" t="s">
        <v>4</v>
      </c>
      <c r="V41" s="3" t="s">
        <v>4</v>
      </c>
      <c r="W41" s="3" t="s">
        <v>4</v>
      </c>
      <c r="X41" s="3" t="s">
        <v>4</v>
      </c>
      <c r="Y41" s="3" t="s">
        <v>4</v>
      </c>
      <c r="AH41" s="1" t="s">
        <v>160</v>
      </c>
      <c r="AN41" s="5" t="str">
        <f>B13</f>
        <v> </v>
      </c>
      <c r="BR41" s="2"/>
      <c r="BS41" s="2"/>
      <c r="BT41" s="2"/>
      <c r="BU41" s="2"/>
      <c r="BV41" s="2"/>
      <c r="BW41" s="2"/>
      <c r="BX41" s="2"/>
      <c r="BY41" s="2"/>
      <c r="BZ41" s="2"/>
    </row>
    <row r="42" spans="1:78" ht="13.5">
      <c r="A42" s="1" t="s">
        <v>105</v>
      </c>
      <c r="B42" s="16">
        <v>940000</v>
      </c>
      <c r="C42" s="16">
        <v>150400</v>
      </c>
      <c r="Q42" s="1" t="s">
        <v>161</v>
      </c>
      <c r="R42" s="6">
        <f>IF(AND(C66="yes",C67="yes"),R39-R41,-R41)</f>
        <v>100501.87197328138</v>
      </c>
      <c r="T42" s="1" t="s">
        <v>162</v>
      </c>
      <c r="AN42" s="11"/>
      <c r="AS42" s="6"/>
      <c r="AU42" s="6"/>
      <c r="BR42" s="2"/>
      <c r="BS42" s="2"/>
      <c r="BT42" s="2"/>
      <c r="BU42" s="2"/>
      <c r="BV42" s="2"/>
      <c r="BW42" s="2"/>
      <c r="BX42" s="2"/>
      <c r="BY42" s="2"/>
      <c r="BZ42" s="2"/>
    </row>
    <row r="43" spans="1:78" ht="13.5">
      <c r="A43" s="1" t="s">
        <v>110</v>
      </c>
      <c r="B43" s="16">
        <v>920000</v>
      </c>
      <c r="C43" s="16">
        <v>110400</v>
      </c>
      <c r="M43" s="1" t="s">
        <v>163</v>
      </c>
      <c r="T43" s="1" t="s">
        <v>164</v>
      </c>
      <c r="W43" s="6">
        <f>C141</f>
        <v>949900</v>
      </c>
      <c r="AH43" s="1" t="s">
        <v>165</v>
      </c>
      <c r="AN43" s="11"/>
      <c r="AT43" s="6"/>
      <c r="AU43" s="6"/>
      <c r="BR43" s="2"/>
      <c r="BS43" s="2"/>
      <c r="BT43" s="2"/>
      <c r="BU43" s="2"/>
      <c r="BV43" s="2"/>
      <c r="BW43" s="2"/>
      <c r="BX43" s="2"/>
      <c r="BY43" s="2"/>
      <c r="BZ43" s="2"/>
    </row>
    <row r="44" spans="1:78" ht="13.5">
      <c r="A44" s="1" t="s">
        <v>115</v>
      </c>
      <c r="B44" s="16">
        <v>840000</v>
      </c>
      <c r="C44" s="16">
        <v>100800</v>
      </c>
      <c r="Q44" s="1" t="s">
        <v>166</v>
      </c>
      <c r="T44" s="1" t="s">
        <v>167</v>
      </c>
      <c r="W44" s="6">
        <f>C139</f>
        <v>373000</v>
      </c>
      <c r="X44" t="s">
        <v>10</v>
      </c>
      <c r="AH44" s="1" t="s">
        <v>168</v>
      </c>
      <c r="AN44" s="11"/>
      <c r="AS44" s="6"/>
      <c r="AU44" s="6"/>
      <c r="AV44" s="17"/>
      <c r="BR44" s="2"/>
      <c r="BS44" s="2"/>
      <c r="BT44" s="2"/>
      <c r="BU44" s="2"/>
      <c r="BV44" s="2"/>
      <c r="BW44" s="2"/>
      <c r="BX44" s="2"/>
      <c r="BY44" s="2"/>
      <c r="BZ44" s="2"/>
    </row>
    <row r="45" spans="1:78" ht="13.5">
      <c r="A45" s="1" t="s">
        <v>118</v>
      </c>
      <c r="B45" s="15">
        <f>SUM(B33:B44)</f>
        <v>10895500</v>
      </c>
      <c r="C45" s="6">
        <f>SUM(C33:C44)</f>
        <v>1523880</v>
      </c>
      <c r="M45" s="1" t="s">
        <v>169</v>
      </c>
      <c r="N45" s="6">
        <f>C74*C64</f>
        <v>166157.53659767794</v>
      </c>
      <c r="W45" s="3" t="s">
        <v>4</v>
      </c>
      <c r="AN45" s="11"/>
      <c r="AS45" s="24"/>
      <c r="AU45" s="6"/>
      <c r="AV45" s="17"/>
      <c r="BR45" s="2"/>
      <c r="BS45" s="2"/>
      <c r="BT45" s="2"/>
      <c r="BU45" s="2"/>
      <c r="BV45" s="2"/>
      <c r="BW45" s="2"/>
      <c r="BX45" s="2"/>
      <c r="BY45" s="2"/>
      <c r="BZ45" s="2"/>
    </row>
    <row r="46" spans="4:78" ht="13.5">
      <c r="D46" t="s">
        <v>10</v>
      </c>
      <c r="M46" s="1" t="s">
        <v>170</v>
      </c>
      <c r="N46" s="6">
        <f>C75*C65</f>
        <v>3096.5254105204563</v>
      </c>
      <c r="Q46" s="1" t="s">
        <v>171</v>
      </c>
      <c r="R46" s="6">
        <f>R32+N45</f>
        <v>1325819.6569225828</v>
      </c>
      <c r="T46" s="1" t="s">
        <v>172</v>
      </c>
      <c r="W46" s="6">
        <f>C141</f>
        <v>949900</v>
      </c>
      <c r="Y46" t="s">
        <v>10</v>
      </c>
      <c r="AN46" s="11"/>
      <c r="AS46" s="13"/>
      <c r="AU46" s="6"/>
      <c r="AV46" s="17"/>
      <c r="BR46" s="2"/>
      <c r="BS46" s="2"/>
      <c r="BT46" s="2"/>
      <c r="BU46" s="2"/>
      <c r="BV46" s="2"/>
      <c r="BW46" s="2"/>
      <c r="BX46" s="2"/>
      <c r="BY46" s="2"/>
      <c r="BZ46" s="2"/>
    </row>
    <row r="47" spans="1:78" ht="13.5">
      <c r="A47" s="14" t="s">
        <v>53</v>
      </c>
      <c r="B47" s="14" t="s">
        <v>173</v>
      </c>
      <c r="C47" s="14" t="s">
        <v>173</v>
      </c>
      <c r="M47" s="1" t="s">
        <v>174</v>
      </c>
      <c r="N47" s="6">
        <f>C138</f>
        <v>844000</v>
      </c>
      <c r="Q47" s="1" t="s">
        <v>175</v>
      </c>
      <c r="R47" s="6">
        <f>R42+N46</f>
        <v>103598.39738380183</v>
      </c>
      <c r="AH47" s="1" t="s">
        <v>176</v>
      </c>
      <c r="AN47" s="11"/>
      <c r="AU47" s="6"/>
      <c r="AV47" s="11"/>
      <c r="BR47" s="2"/>
      <c r="BS47" s="2"/>
      <c r="BT47" s="2"/>
      <c r="BU47" s="2"/>
      <c r="BV47" s="2"/>
      <c r="BW47" s="2"/>
      <c r="BX47" s="2"/>
      <c r="BY47" s="2"/>
      <c r="BZ47" s="2"/>
    </row>
    <row r="48" spans="1:78" ht="13.5">
      <c r="A48" s="1" t="s">
        <v>10</v>
      </c>
      <c r="B48" s="14" t="s">
        <v>177</v>
      </c>
      <c r="C48" s="14" t="s">
        <v>177</v>
      </c>
      <c r="N48" s="3" t="s">
        <v>4</v>
      </c>
      <c r="Q48" s="1" t="s">
        <v>178</v>
      </c>
      <c r="R48" s="6">
        <f>F224</f>
        <v>165495.19999999998</v>
      </c>
      <c r="T48" s="1" t="s">
        <v>179</v>
      </c>
      <c r="W48" s="20">
        <f>C146</f>
        <v>0.3</v>
      </c>
      <c r="AA48" s="23"/>
      <c r="AB48" s="6"/>
      <c r="AC48" s="20"/>
      <c r="AD48" s="6"/>
      <c r="AE48" s="6"/>
      <c r="AN48" s="11"/>
      <c r="AS48" s="25"/>
      <c r="AU48" s="6"/>
      <c r="BR48" s="2"/>
      <c r="BS48" s="2"/>
      <c r="BT48" s="2"/>
      <c r="BU48" s="2"/>
      <c r="BV48" s="2"/>
      <c r="BW48" s="2"/>
      <c r="BX48" s="2"/>
      <c r="BY48" s="2"/>
      <c r="BZ48" s="2"/>
    </row>
    <row r="49" spans="1:78" ht="13.5">
      <c r="A49" s="1" t="s">
        <v>63</v>
      </c>
      <c r="B49" s="26">
        <v>1350</v>
      </c>
      <c r="C49" s="27">
        <v>11475</v>
      </c>
      <c r="E49" s="1" t="s">
        <v>64</v>
      </c>
      <c r="M49" s="1" t="s">
        <v>180</v>
      </c>
      <c r="N49" s="6">
        <f>SUM(N45:N47)</f>
        <v>1013254.0620081984</v>
      </c>
      <c r="Q49" s="1" t="s">
        <v>181</v>
      </c>
      <c r="R49" s="6">
        <f>-N41</f>
        <v>-565870.5</v>
      </c>
      <c r="AA49" s="23"/>
      <c r="AB49" s="6"/>
      <c r="AC49" s="20"/>
      <c r="AD49" s="6"/>
      <c r="AE49" s="6"/>
      <c r="AN49" s="11"/>
      <c r="AS49" s="6"/>
      <c r="AU49" s="6"/>
      <c r="BR49" s="2"/>
      <c r="BS49" s="2"/>
      <c r="BT49" s="2"/>
      <c r="BU49" s="2"/>
      <c r="BV49" s="2"/>
      <c r="BW49" s="2"/>
      <c r="BX49" s="2"/>
      <c r="BY49" s="2"/>
      <c r="BZ49" s="2"/>
    </row>
    <row r="50" spans="1:78" ht="13.5">
      <c r="A50" s="1" t="s">
        <v>68</v>
      </c>
      <c r="B50" s="26">
        <v>1290</v>
      </c>
      <c r="C50" s="27">
        <v>10965</v>
      </c>
      <c r="E50" s="1" t="s">
        <v>182</v>
      </c>
      <c r="N50" s="6"/>
      <c r="Q50" s="1" t="s">
        <v>183</v>
      </c>
      <c r="R50" s="6">
        <v>-124373</v>
      </c>
      <c r="T50" s="1" t="s">
        <v>184</v>
      </c>
      <c r="W50" s="20">
        <v>0.03</v>
      </c>
      <c r="AA50" s="23"/>
      <c r="AB50" s="6"/>
      <c r="AC50" s="20"/>
      <c r="AD50" s="6"/>
      <c r="AE50" s="6"/>
      <c r="AN50" s="11"/>
      <c r="AU50" s="6"/>
      <c r="BR50" s="2"/>
      <c r="BS50" s="2"/>
      <c r="BT50" s="2"/>
      <c r="BU50" s="2"/>
      <c r="BV50" s="2"/>
      <c r="BW50" s="2"/>
      <c r="BX50" s="2"/>
      <c r="BY50" s="2"/>
      <c r="BZ50" s="2"/>
    </row>
    <row r="51" spans="1:78" ht="13.5">
      <c r="A51" s="1" t="s">
        <v>73</v>
      </c>
      <c r="B51" s="26">
        <v>1400</v>
      </c>
      <c r="C51" s="27">
        <v>11900</v>
      </c>
      <c r="M51" s="1" t="s">
        <v>185</v>
      </c>
      <c r="N51" s="13">
        <f>((R28*3415/100000)+N32/2)/(N39*0.9)</f>
        <v>0.5322367779671615</v>
      </c>
      <c r="Q51" s="1" t="s">
        <v>186</v>
      </c>
      <c r="R51" s="6">
        <f>C138</f>
        <v>844000</v>
      </c>
      <c r="AA51" s="23"/>
      <c r="AB51" s="6"/>
      <c r="AC51" s="20"/>
      <c r="AD51" s="6"/>
      <c r="AE51" s="6"/>
      <c r="AH51" s="3" t="s">
        <v>58</v>
      </c>
      <c r="AI51" s="3" t="s">
        <v>58</v>
      </c>
      <c r="AJ51" s="3" t="s">
        <v>58</v>
      </c>
      <c r="AN51" s="11"/>
      <c r="AU51" s="6"/>
      <c r="BR51" s="2"/>
      <c r="BS51" s="2"/>
      <c r="BT51" s="2"/>
      <c r="BU51" s="2"/>
      <c r="BV51" s="2"/>
      <c r="BW51" s="2"/>
      <c r="BX51" s="2"/>
      <c r="BY51" s="2"/>
      <c r="BZ51" s="2"/>
    </row>
    <row r="52" spans="1:78" ht="13.5">
      <c r="A52" s="1" t="s">
        <v>78</v>
      </c>
      <c r="B52" s="26">
        <v>1450</v>
      </c>
      <c r="C52" s="27">
        <v>12325</v>
      </c>
      <c r="R52" s="3" t="s">
        <v>4</v>
      </c>
      <c r="T52" s="1" t="s">
        <v>187</v>
      </c>
      <c r="W52" s="6">
        <f>U40/12</f>
        <v>80142.47952553205</v>
      </c>
      <c r="AA52" s="23"/>
      <c r="AB52" s="6"/>
      <c r="AC52" s="20"/>
      <c r="AD52" s="6"/>
      <c r="AE52" s="6"/>
      <c r="AH52" s="1" t="s">
        <v>188</v>
      </c>
      <c r="AU52" s="6"/>
      <c r="BR52" s="2"/>
      <c r="BS52" s="2"/>
      <c r="BT52" s="2"/>
      <c r="BU52" s="2"/>
      <c r="BV52" s="2"/>
      <c r="BW52" s="2"/>
      <c r="BX52" s="2"/>
      <c r="BY52" s="2"/>
      <c r="BZ52" s="2"/>
    </row>
    <row r="53" spans="1:78" ht="13.5">
      <c r="A53" s="1" t="s">
        <v>84</v>
      </c>
      <c r="B53" s="26">
        <v>1500</v>
      </c>
      <c r="C53" s="27">
        <v>20250</v>
      </c>
      <c r="Q53" s="1" t="s">
        <v>189</v>
      </c>
      <c r="R53" s="6">
        <f>R46+R48+R47+R49+R50+R51</f>
        <v>1748669.7543063846</v>
      </c>
      <c r="AA53" s="23"/>
      <c r="AB53" s="6"/>
      <c r="AC53" s="20"/>
      <c r="AD53" s="6"/>
      <c r="AE53" s="6"/>
      <c r="AH53" s="5" t="str">
        <f>B6</f>
        <v> </v>
      </c>
      <c r="AU53" s="6"/>
      <c r="BR53" s="2"/>
      <c r="BS53" s="2"/>
      <c r="BT53" s="2"/>
      <c r="BU53" s="2"/>
      <c r="BV53" s="2"/>
      <c r="BW53" s="2"/>
      <c r="BX53" s="2"/>
      <c r="BY53" s="2"/>
      <c r="BZ53" s="2"/>
    </row>
    <row r="54" spans="1:78" ht="13.5">
      <c r="A54" s="1" t="s">
        <v>88</v>
      </c>
      <c r="B54" s="26">
        <v>1550</v>
      </c>
      <c r="C54" s="27">
        <v>20925</v>
      </c>
      <c r="R54" s="11"/>
      <c r="T54" s="1" t="s">
        <v>190</v>
      </c>
      <c r="W54" s="13">
        <f>SUM(Y40/5)/W46</f>
        <v>1.0759684676090238</v>
      </c>
      <c r="AA54" s="23"/>
      <c r="AB54" s="6"/>
      <c r="AC54" s="20"/>
      <c r="AD54" s="6"/>
      <c r="AE54" s="6"/>
      <c r="AU54" s="6"/>
      <c r="BR54" s="2"/>
      <c r="BS54" s="2"/>
      <c r="BT54" s="2"/>
      <c r="BU54" s="2"/>
      <c r="BV54" s="2"/>
      <c r="BW54" s="2"/>
      <c r="BX54" s="2"/>
      <c r="BY54" s="2"/>
      <c r="BZ54" s="2"/>
    </row>
    <row r="55" spans="1:78" ht="13.5">
      <c r="A55" s="1" t="s">
        <v>93</v>
      </c>
      <c r="B55" s="26">
        <v>1600</v>
      </c>
      <c r="C55" s="27">
        <v>21600</v>
      </c>
      <c r="M55" s="1" t="s">
        <v>191</v>
      </c>
      <c r="AA55" s="23"/>
      <c r="AB55" s="6"/>
      <c r="AC55" s="20"/>
      <c r="AD55" s="6"/>
      <c r="AE55" s="6"/>
      <c r="AU55" s="6"/>
      <c r="BR55" s="2"/>
      <c r="BS55" s="2"/>
      <c r="BT55" s="2"/>
      <c r="BU55" s="2"/>
      <c r="BV55" s="2"/>
      <c r="BW55" s="2"/>
      <c r="BX55" s="2"/>
      <c r="BY55" s="2"/>
      <c r="BZ55" s="2"/>
    </row>
    <row r="56" spans="1:78" ht="13.5">
      <c r="A56" s="1" t="s">
        <v>96</v>
      </c>
      <c r="B56" s="26">
        <v>1750</v>
      </c>
      <c r="C56" s="27">
        <v>23625</v>
      </c>
      <c r="M56" s="1"/>
      <c r="T56" s="1" t="s">
        <v>192</v>
      </c>
      <c r="W56" s="26">
        <f>SUM(W46/(Y40/5))</f>
        <v>0.9293952658502735</v>
      </c>
      <c r="AA56" s="23"/>
      <c r="AB56" s="6"/>
      <c r="AC56" s="20"/>
      <c r="AD56" s="6"/>
      <c r="AE56" s="6"/>
      <c r="AU56" s="6"/>
      <c r="BR56" s="2"/>
      <c r="BS56" s="2"/>
      <c r="BT56" s="2"/>
      <c r="BU56" s="2"/>
      <c r="BV56" s="2"/>
      <c r="BW56" s="2"/>
      <c r="BX56" s="2"/>
      <c r="BY56" s="2"/>
      <c r="BZ56" s="2"/>
    </row>
    <row r="57" spans="1:78" ht="13.5">
      <c r="A57" s="1" t="s">
        <v>103</v>
      </c>
      <c r="B57" s="26">
        <v>1650</v>
      </c>
      <c r="C57" s="27">
        <v>22275</v>
      </c>
      <c r="M57" s="1"/>
      <c r="AA57" s="23"/>
      <c r="AB57" s="6"/>
      <c r="AC57" s="20"/>
      <c r="AD57" s="6"/>
      <c r="AE57" s="6"/>
      <c r="AR57" s="20"/>
      <c r="BR57" s="2"/>
      <c r="BS57" s="2"/>
      <c r="BT57" s="2"/>
      <c r="BU57" s="2"/>
      <c r="BV57" s="2"/>
      <c r="BW57" s="2"/>
      <c r="BX57" s="2"/>
      <c r="BY57" s="2"/>
      <c r="BZ57" s="2"/>
    </row>
    <row r="58" spans="1:78" ht="13.5">
      <c r="A58" s="1" t="s">
        <v>105</v>
      </c>
      <c r="B58" s="26">
        <v>1575</v>
      </c>
      <c r="C58" s="27">
        <v>21262</v>
      </c>
      <c r="T58" s="5"/>
      <c r="AA58" s="23"/>
      <c r="AB58" s="6"/>
      <c r="AC58" s="20"/>
      <c r="AD58" s="6"/>
      <c r="AE58" s="6"/>
      <c r="BR58" s="2"/>
      <c r="BS58" s="2"/>
      <c r="BT58" s="2"/>
      <c r="BU58" s="2"/>
      <c r="BV58" s="2"/>
      <c r="BW58" s="2"/>
      <c r="BX58" s="2"/>
      <c r="BY58" s="2"/>
      <c r="BZ58" s="2"/>
    </row>
    <row r="59" spans="1:78" ht="13.5">
      <c r="A59" s="1" t="s">
        <v>110</v>
      </c>
      <c r="B59" s="26">
        <v>1550</v>
      </c>
      <c r="C59" s="27">
        <v>13175</v>
      </c>
      <c r="T59" s="5" t="str">
        <f>IF(C151="YES","   Line Depreciation method and (3) 10% Residual Value."," ")</f>
        <v>   Line Depreciation method and (3) 10% Residual Value.</v>
      </c>
      <c r="BR59" s="2"/>
      <c r="BS59" s="2"/>
      <c r="BT59" s="2"/>
      <c r="BU59" s="2"/>
      <c r="BV59" s="2"/>
      <c r="BW59" s="2"/>
      <c r="BX59" s="2"/>
      <c r="BY59" s="2"/>
      <c r="BZ59" s="2"/>
    </row>
    <row r="60" spans="1:78" ht="13.5">
      <c r="A60" s="1" t="s">
        <v>115</v>
      </c>
      <c r="B60" s="26">
        <v>1300</v>
      </c>
      <c r="C60" s="27">
        <v>11050</v>
      </c>
      <c r="BR60" s="2"/>
      <c r="BS60" s="2"/>
      <c r="BT60" s="2"/>
      <c r="BU60" s="2"/>
      <c r="BV60" s="2"/>
      <c r="BW60" s="2"/>
      <c r="BX60" s="2"/>
      <c r="BY60" s="2"/>
      <c r="BZ60" s="2"/>
    </row>
    <row r="61" spans="1:78" ht="13.5">
      <c r="A61" s="1" t="s">
        <v>118</v>
      </c>
      <c r="B61" s="24">
        <f>SUM(B49:B60)</f>
        <v>17965</v>
      </c>
      <c r="C61" s="6">
        <f>SUM(C49:C60)</f>
        <v>200827</v>
      </c>
      <c r="BR61" s="2"/>
      <c r="BS61" s="2"/>
      <c r="BT61" s="2"/>
      <c r="BU61" s="2"/>
      <c r="BV61" s="2"/>
      <c r="BW61" s="2"/>
      <c r="BX61" s="2"/>
      <c r="BY61" s="2"/>
      <c r="BZ61" s="2"/>
    </row>
    <row r="62" spans="70:78" ht="13.5">
      <c r="BR62" s="2"/>
      <c r="BS62" s="2"/>
      <c r="BT62" s="2"/>
      <c r="BU62" s="2"/>
      <c r="BV62" s="2"/>
      <c r="BW62" s="2"/>
      <c r="BX62" s="2"/>
      <c r="BY62" s="2"/>
      <c r="BZ62" s="2"/>
    </row>
    <row r="63" spans="1:78" ht="13.5">
      <c r="A63" s="1" t="s">
        <v>193</v>
      </c>
      <c r="C63" s="17">
        <f>N18</f>
        <v>0.8987270831523155</v>
      </c>
      <c r="E63" s="1" t="s">
        <v>194</v>
      </c>
      <c r="BR63" s="2"/>
      <c r="BS63" s="2"/>
      <c r="BT63" s="2"/>
      <c r="BU63" s="2"/>
      <c r="BV63" s="2"/>
      <c r="BW63" s="2"/>
      <c r="BX63" s="2"/>
      <c r="BY63" s="2"/>
      <c r="BZ63" s="2"/>
    </row>
    <row r="64" spans="1:78" ht="13.5">
      <c r="A64" s="1" t="s">
        <v>195</v>
      </c>
      <c r="C64" s="17">
        <f>R18</f>
        <v>0.13986324629434171</v>
      </c>
      <c r="E64" s="1" t="s">
        <v>196</v>
      </c>
      <c r="BR64" s="2"/>
      <c r="BS64" s="2"/>
      <c r="BT64" s="2"/>
      <c r="BU64" s="2"/>
      <c r="BV64" s="2"/>
      <c r="BW64" s="2"/>
      <c r="BX64" s="2"/>
      <c r="BY64" s="2"/>
      <c r="BZ64" s="2"/>
    </row>
    <row r="65" spans="1:78" ht="13.5">
      <c r="A65" s="1" t="s">
        <v>197</v>
      </c>
      <c r="C65" s="21">
        <f>IF(B221,B222,0)</f>
        <v>11.17879209574172</v>
      </c>
      <c r="E65" s="1" t="s">
        <v>198</v>
      </c>
      <c r="BR65" s="2"/>
      <c r="BS65" s="2"/>
      <c r="BT65" s="2"/>
      <c r="BU65" s="2"/>
      <c r="BV65" s="2"/>
      <c r="BW65" s="2"/>
      <c r="BX65" s="2"/>
      <c r="BY65" s="2"/>
      <c r="BZ65" s="2"/>
    </row>
    <row r="66" spans="1:78" ht="13.5">
      <c r="A66" s="1" t="s">
        <v>199</v>
      </c>
      <c r="C66" s="8" t="s">
        <v>200</v>
      </c>
      <c r="E66" s="1" t="s">
        <v>201</v>
      </c>
      <c r="BR66" s="2"/>
      <c r="BS66" s="2"/>
      <c r="BT66" s="2"/>
      <c r="BU66" s="2"/>
      <c r="BV66" s="2"/>
      <c r="BW66" s="2"/>
      <c r="BX66" s="2"/>
      <c r="BY66" s="2"/>
      <c r="BZ66" s="2"/>
    </row>
    <row r="67" spans="1:78" ht="13.5">
      <c r="A67" s="1" t="s">
        <v>202</v>
      </c>
      <c r="C67" s="8" t="s">
        <v>200</v>
      </c>
      <c r="E67" s="1" t="s">
        <v>203</v>
      </c>
      <c r="BR67" s="2"/>
      <c r="BS67" s="2"/>
      <c r="BT67" s="2"/>
      <c r="BU67" s="2"/>
      <c r="BV67" s="2"/>
      <c r="BW67" s="2"/>
      <c r="BX67" s="2"/>
      <c r="BY67" s="2"/>
      <c r="BZ67" s="2"/>
    </row>
    <row r="68" spans="1:78" ht="13.5">
      <c r="A68" s="1" t="s">
        <v>204</v>
      </c>
      <c r="C68" s="28">
        <v>3.3</v>
      </c>
      <c r="E68" s="1" t="s">
        <v>205</v>
      </c>
      <c r="BR68" s="2"/>
      <c r="BS68" s="2"/>
      <c r="BT68" s="2"/>
      <c r="BU68" s="2"/>
      <c r="BV68" s="2"/>
      <c r="BW68" s="2"/>
      <c r="BX68" s="2"/>
      <c r="BY68" s="2"/>
      <c r="BZ68" s="2"/>
    </row>
    <row r="69" spans="1:78" ht="13.5">
      <c r="A69" s="1" t="s">
        <v>130</v>
      </c>
      <c r="C69" s="28">
        <v>0.02</v>
      </c>
      <c r="E69" s="1" t="s">
        <v>206</v>
      </c>
      <c r="BR69" s="2"/>
      <c r="BS69" s="2"/>
      <c r="BT69" s="2"/>
      <c r="BU69" s="2"/>
      <c r="BV69" s="2"/>
      <c r="BW69" s="2"/>
      <c r="BX69" s="2"/>
      <c r="BY69" s="2"/>
      <c r="BZ69" s="2"/>
    </row>
    <row r="70" spans="1:78" ht="13.5">
      <c r="A70" s="1" t="s">
        <v>207</v>
      </c>
      <c r="C70" s="29">
        <v>80</v>
      </c>
      <c r="E70" s="1" t="s">
        <v>208</v>
      </c>
      <c r="BR70" s="2"/>
      <c r="BS70" s="2"/>
      <c r="BT70" s="2"/>
      <c r="BU70" s="2"/>
      <c r="BV70" s="2"/>
      <c r="BW70" s="2"/>
      <c r="BX70" s="2"/>
      <c r="BY70" s="2"/>
      <c r="BZ70" s="2"/>
    </row>
    <row r="71" spans="1:78" ht="13.5">
      <c r="A71" s="1" t="s">
        <v>209</v>
      </c>
      <c r="C71" s="29">
        <v>85</v>
      </c>
      <c r="E71" s="1" t="s">
        <v>210</v>
      </c>
      <c r="BR71" s="2"/>
      <c r="BS71" s="2"/>
      <c r="BT71" s="2"/>
      <c r="BU71" s="2"/>
      <c r="BV71" s="2"/>
      <c r="BW71" s="2"/>
      <c r="BX71" s="2"/>
      <c r="BY71" s="2"/>
      <c r="BZ71" s="2"/>
    </row>
    <row r="72" spans="1:78" ht="13.5">
      <c r="A72" s="1" t="s">
        <v>211</v>
      </c>
      <c r="C72" s="30">
        <v>0</v>
      </c>
      <c r="E72" s="1" t="s">
        <v>212</v>
      </c>
      <c r="BR72" s="2"/>
      <c r="BS72" s="2"/>
      <c r="BT72" s="2"/>
      <c r="BU72" s="2"/>
      <c r="BV72" s="2"/>
      <c r="BW72" s="2"/>
      <c r="BX72" s="2"/>
      <c r="BY72" s="2"/>
      <c r="BZ72" s="2"/>
    </row>
    <row r="73" spans="1:78" ht="13.5">
      <c r="A73" s="1" t="s">
        <v>213</v>
      </c>
      <c r="B73" t="s">
        <v>214</v>
      </c>
      <c r="C73" s="30">
        <v>0</v>
      </c>
      <c r="E73" s="1" t="s">
        <v>215</v>
      </c>
      <c r="BR73" s="2"/>
      <c r="BS73" s="2"/>
      <c r="BT73" s="2"/>
      <c r="BU73" s="2"/>
      <c r="BV73" s="2"/>
      <c r="BW73" s="2"/>
      <c r="BX73" s="2"/>
      <c r="BY73" s="2"/>
      <c r="BZ73" s="2"/>
    </row>
    <row r="74" spans="1:78" ht="13.5">
      <c r="A74" s="1" t="s">
        <v>216</v>
      </c>
      <c r="C74" s="16">
        <v>1188000</v>
      </c>
      <c r="E74" s="1" t="s">
        <v>217</v>
      </c>
      <c r="BR74" s="2"/>
      <c r="BS74" s="2"/>
      <c r="BT74" s="2"/>
      <c r="BU74" s="2"/>
      <c r="BV74" s="2"/>
      <c r="BW74" s="2"/>
      <c r="BX74" s="2"/>
      <c r="BY74" s="2"/>
      <c r="BZ74" s="2"/>
    </row>
    <row r="75" spans="1:78" ht="13.5">
      <c r="A75" s="1" t="s">
        <v>218</v>
      </c>
      <c r="C75" s="16">
        <v>277</v>
      </c>
      <c r="E75" s="1" t="s">
        <v>217</v>
      </c>
      <c r="BR75" s="2"/>
      <c r="BS75" s="2"/>
      <c r="BT75" s="2"/>
      <c r="BU75" s="2"/>
      <c r="BV75" s="2"/>
      <c r="BW75" s="2"/>
      <c r="BX75" s="2"/>
      <c r="BY75" s="2"/>
      <c r="BZ75" s="2"/>
    </row>
    <row r="76" spans="1:78" ht="13.5">
      <c r="A76" s="1" t="s">
        <v>219</v>
      </c>
      <c r="C76" s="2">
        <v>0</v>
      </c>
      <c r="E76" s="1" t="s">
        <v>217</v>
      </c>
      <c r="BR76" s="2"/>
      <c r="BS76" s="2"/>
      <c r="BT76" s="2"/>
      <c r="BU76" s="2"/>
      <c r="BV76" s="2"/>
      <c r="BW76" s="2"/>
      <c r="BX76" s="2"/>
      <c r="BY76" s="2"/>
      <c r="BZ76" s="2"/>
    </row>
    <row r="77" spans="1:78" ht="13.5">
      <c r="A77" s="1" t="s">
        <v>220</v>
      </c>
      <c r="C77" s="2">
        <v>8760</v>
      </c>
      <c r="E77" s="1" t="s">
        <v>221</v>
      </c>
      <c r="BR77" s="2"/>
      <c r="BS77" s="2"/>
      <c r="BT77" s="2"/>
      <c r="BU77" s="2"/>
      <c r="BV77" s="2"/>
      <c r="BW77" s="2"/>
      <c r="BX77" s="2"/>
      <c r="BY77" s="2"/>
      <c r="BZ77" s="2"/>
    </row>
    <row r="78" spans="1:78" ht="13.5">
      <c r="A78" s="1" t="s">
        <v>222</v>
      </c>
      <c r="C78" s="25">
        <f>(B29*(C70/100)*(C71/100))/C77</f>
        <v>17.86785388127854</v>
      </c>
      <c r="E78" s="1" t="s">
        <v>223</v>
      </c>
      <c r="BR78" s="2"/>
      <c r="BS78" s="2"/>
      <c r="BT78" s="2"/>
      <c r="BU78" s="2"/>
      <c r="BV78" s="2"/>
      <c r="BW78" s="2"/>
      <c r="BX78" s="2"/>
      <c r="BY78" s="2"/>
      <c r="BZ78" s="2"/>
    </row>
    <row r="79" spans="1:78" ht="13.5">
      <c r="A79" s="1" t="s">
        <v>224</v>
      </c>
      <c r="C79" s="25">
        <f>((B45-C74)-((B45-C74)*C73))/C77</f>
        <v>1108.162100456621</v>
      </c>
      <c r="E79" s="1" t="s">
        <v>223</v>
      </c>
      <c r="AN79" s="11"/>
      <c r="BR79" s="2"/>
      <c r="BS79" s="2"/>
      <c r="BT79" s="2"/>
      <c r="BU79" s="2"/>
      <c r="BV79" s="2"/>
      <c r="BW79" s="2"/>
      <c r="BX79" s="2"/>
      <c r="BY79" s="2"/>
      <c r="BZ79" s="2"/>
    </row>
    <row r="80" spans="1:78" ht="13.5">
      <c r="A80" s="1" t="s">
        <v>225</v>
      </c>
      <c r="C80" s="25">
        <f>(B61-C75)/12</f>
        <v>1474</v>
      </c>
      <c r="E80" s="1" t="s">
        <v>226</v>
      </c>
      <c r="BR80" s="2"/>
      <c r="BS80" s="2"/>
      <c r="BT80" s="2"/>
      <c r="BU80" s="2"/>
      <c r="BV80" s="2"/>
      <c r="BW80" s="2"/>
      <c r="BX80" s="2"/>
      <c r="BY80" s="2"/>
      <c r="BZ80" s="2"/>
    </row>
    <row r="81" spans="1:78" ht="13.5">
      <c r="A81" s="1" t="s">
        <v>227</v>
      </c>
      <c r="B81" s="2"/>
      <c r="C81" s="5" t="str">
        <f>IF(C78&lt;4.5," 40",IF(C78&lt;5.4,"60","120"))</f>
        <v>120</v>
      </c>
      <c r="E81" s="1" t="s">
        <v>228</v>
      </c>
      <c r="BR81" s="2"/>
      <c r="BS81" s="2"/>
      <c r="BT81" s="2"/>
      <c r="BU81" s="2"/>
      <c r="BV81" s="2"/>
      <c r="BW81" s="2"/>
      <c r="BX81" s="2"/>
      <c r="BY81" s="2"/>
      <c r="BZ81" s="2"/>
    </row>
    <row r="82" spans="1:78" ht="13.5">
      <c r="A82" s="1" t="s">
        <v>229</v>
      </c>
      <c r="B82" s="2"/>
      <c r="C82" s="5" t="str">
        <f>IF(C79&lt;50," 40",IF(C79&lt;90," 60",IF(C79&lt;240,"120 ","120's")))</f>
        <v>120's</v>
      </c>
      <c r="E82" s="1" t="s">
        <v>228</v>
      </c>
      <c r="BR82" s="2"/>
      <c r="BS82" s="2"/>
      <c r="BT82" s="2"/>
      <c r="BU82" s="2"/>
      <c r="BV82" s="2"/>
      <c r="BW82" s="2"/>
      <c r="BX82" s="2"/>
      <c r="BY82" s="2"/>
      <c r="BZ82" s="2"/>
    </row>
    <row r="83" spans="1:78" ht="13.5">
      <c r="A83" s="1" t="s">
        <v>230</v>
      </c>
      <c r="C83" s="29">
        <v>1063</v>
      </c>
      <c r="E83" s="1" t="s">
        <v>231</v>
      </c>
      <c r="BR83" s="2"/>
      <c r="BS83" s="2"/>
      <c r="BT83" s="2"/>
      <c r="BU83" s="2"/>
      <c r="BV83" s="2"/>
      <c r="BW83" s="2"/>
      <c r="BX83" s="2"/>
      <c r="BY83" s="2"/>
      <c r="BZ83" s="2"/>
    </row>
    <row r="84" spans="1:78" ht="13.5">
      <c r="A84" s="1" t="s">
        <v>232</v>
      </c>
      <c r="C84" s="29">
        <v>96.73</v>
      </c>
      <c r="E84" s="1" t="s">
        <v>233</v>
      </c>
      <c r="BR84" s="2"/>
      <c r="BS84" s="2"/>
      <c r="BT84" s="2"/>
      <c r="BU84" s="2"/>
      <c r="BV84" s="2"/>
      <c r="BW84" s="2"/>
      <c r="BX84" s="2"/>
      <c r="BY84" s="2"/>
      <c r="BZ84" s="2"/>
    </row>
    <row r="85" spans="1:78" ht="13.5">
      <c r="A85" s="1" t="s">
        <v>234</v>
      </c>
      <c r="C85" s="29">
        <v>46</v>
      </c>
      <c r="E85" s="1" t="s">
        <v>233</v>
      </c>
      <c r="BR85" s="2"/>
      <c r="BS85" s="2"/>
      <c r="BT85" s="2"/>
      <c r="BU85" s="2"/>
      <c r="BV85" s="2"/>
      <c r="BW85" s="2"/>
      <c r="BX85" s="2"/>
      <c r="BY85" s="2"/>
      <c r="BZ85" s="2"/>
    </row>
    <row r="86" spans="1:78" ht="13.5">
      <c r="A86" s="1" t="s">
        <v>235</v>
      </c>
      <c r="C86" s="25">
        <f>((C83*3413)+(C85*100000))/(C84*100000)</f>
        <v>0.8506170784658327</v>
      </c>
      <c r="E86" s="1" t="s">
        <v>236</v>
      </c>
      <c r="BR86" s="2"/>
      <c r="BS86" s="2"/>
      <c r="BT86" s="2"/>
      <c r="BU86" s="2"/>
      <c r="BV86" s="2"/>
      <c r="BW86" s="2"/>
      <c r="BX86" s="2"/>
      <c r="BY86" s="2"/>
      <c r="BZ86" s="2"/>
    </row>
    <row r="87" spans="1:78" ht="13.5">
      <c r="A87" s="1" t="s">
        <v>237</v>
      </c>
      <c r="B87" s="11"/>
      <c r="C87" s="15">
        <f>N30</f>
        <v>3402.660869565217</v>
      </c>
      <c r="D87" s="13">
        <f>IF(C87/C88&gt;1,1,C87/C88)</f>
        <v>0.4362385730211817</v>
      </c>
      <c r="E87" s="1" t="s">
        <v>238</v>
      </c>
      <c r="BR87" s="2"/>
      <c r="BS87" s="2"/>
      <c r="BT87" s="2"/>
      <c r="BU87" s="2"/>
      <c r="BV87" s="2"/>
      <c r="BW87" s="2"/>
      <c r="BX87" s="2"/>
      <c r="BY87" s="2"/>
      <c r="BZ87" s="2"/>
    </row>
    <row r="88" spans="1:78" ht="13.5">
      <c r="A88" s="1" t="s">
        <v>239</v>
      </c>
      <c r="C88" s="2">
        <v>7800</v>
      </c>
      <c r="E88" s="1" t="s">
        <v>240</v>
      </c>
      <c r="BR88" s="2"/>
      <c r="BS88" s="2"/>
      <c r="BT88" s="2"/>
      <c r="BU88" s="2"/>
      <c r="BV88" s="2"/>
      <c r="BW88" s="2"/>
      <c r="BX88" s="2"/>
      <c r="BY88" s="2"/>
      <c r="BZ88" s="2"/>
    </row>
    <row r="89" spans="1:78" ht="13.5">
      <c r="A89" s="5" t="str">
        <f>IF(C88&gt;C77,"        WARNING - RUN HOURS EXCEED HOURS OPEN!","        RUN HOURS EQUAL OR ARE LESS THAN HOURS OPEN.")</f>
        <v>        RUN HOURS EQUAL OR ARE LESS THAN HOURS OPEN.</v>
      </c>
      <c r="E89" s="1" t="s">
        <v>241</v>
      </c>
      <c r="BR89" s="2"/>
      <c r="BS89" s="2"/>
      <c r="BT89" s="2"/>
      <c r="BU89" s="2"/>
      <c r="BV89" s="2"/>
      <c r="BW89" s="2"/>
      <c r="BX89" s="2"/>
      <c r="BY89" s="2"/>
      <c r="BZ89" s="2"/>
    </row>
    <row r="90" spans="1:78" ht="13.5">
      <c r="A90" s="1" t="s">
        <v>242</v>
      </c>
      <c r="C90" s="13">
        <f>F223</f>
        <v>2.292323654633458</v>
      </c>
      <c r="E90" s="1" t="s">
        <v>243</v>
      </c>
      <c r="AE90" s="6"/>
      <c r="AF90" s="6"/>
      <c r="AG90" s="6"/>
      <c r="BR90" s="2"/>
      <c r="BS90" s="2"/>
      <c r="BT90" s="2"/>
      <c r="BU90" s="2"/>
      <c r="BV90" s="2"/>
      <c r="BW90" s="2"/>
      <c r="BX90" s="2"/>
      <c r="BY90" s="2"/>
      <c r="BZ90" s="2"/>
    </row>
    <row r="91" spans="1:78" ht="13.5">
      <c r="A91" s="1" t="s">
        <v>244</v>
      </c>
      <c r="C91" s="5">
        <f>R19</f>
        <v>10895500</v>
      </c>
      <c r="E91" s="1" t="s">
        <v>245</v>
      </c>
      <c r="AE91" s="6"/>
      <c r="AF91" s="6"/>
      <c r="AG91" s="6"/>
      <c r="BR91" s="2"/>
      <c r="BS91" s="2"/>
      <c r="BT91" s="2"/>
      <c r="BU91" s="2"/>
      <c r="BV91" s="2"/>
      <c r="BW91" s="2"/>
      <c r="BX91" s="2"/>
      <c r="BY91" s="2"/>
      <c r="BZ91" s="2"/>
    </row>
    <row r="92" spans="1:78" ht="13.5">
      <c r="A92" s="1" t="s">
        <v>246</v>
      </c>
      <c r="C92" s="5">
        <f>R28</f>
        <v>8291400</v>
      </c>
      <c r="E92" s="1" t="s">
        <v>247</v>
      </c>
      <c r="AE92" s="6"/>
      <c r="AF92" s="6"/>
      <c r="AG92" s="6"/>
      <c r="BR92" s="2"/>
      <c r="BS92" s="2"/>
      <c r="BT92" s="2"/>
      <c r="BU92" s="2"/>
      <c r="BV92" s="2"/>
      <c r="BW92" s="2"/>
      <c r="BX92" s="2"/>
      <c r="BY92" s="2"/>
      <c r="BZ92" s="2"/>
    </row>
    <row r="93" spans="1:78" ht="13.5">
      <c r="A93" s="5" t="str">
        <f>IF(C91*0.9&lt;C92,"   WARNING - GENERATED KWH EXCEEDS 90% OF USE.","   NOTE - GENERATED KWH DOES NOT EXCEED 90% OF USE.")</f>
        <v>   NOTE - GENERATED KWH DOES NOT EXCEED 90% OF USE.</v>
      </c>
      <c r="E93" s="1" t="s">
        <v>248</v>
      </c>
      <c r="BR93" s="2"/>
      <c r="BS93" s="2"/>
      <c r="BT93" s="2"/>
      <c r="BU93" s="2"/>
      <c r="BV93" s="2"/>
      <c r="BW93" s="2"/>
      <c r="BX93" s="2"/>
      <c r="BY93" s="2"/>
      <c r="BZ93" s="2"/>
    </row>
    <row r="94" spans="1:78" ht="13.5">
      <c r="A94" s="1" t="s">
        <v>249</v>
      </c>
      <c r="C94" s="20">
        <f>(C83*C88)/B45</f>
        <v>0.7609930705337066</v>
      </c>
      <c r="E94" s="1" t="s">
        <v>250</v>
      </c>
      <c r="BR94" s="2"/>
      <c r="BS94" s="2"/>
      <c r="BT94" s="2"/>
      <c r="BU94" s="2"/>
      <c r="BV94" s="2"/>
      <c r="BW94" s="2"/>
      <c r="BX94" s="2"/>
      <c r="BY94" s="2"/>
      <c r="BZ94" s="2"/>
    </row>
    <row r="95" spans="1:78" ht="13.5">
      <c r="A95" s="1" t="s">
        <v>251</v>
      </c>
      <c r="C95" s="13">
        <f>N51</f>
        <v>0.5322367779671615</v>
      </c>
      <c r="E95" s="1" t="s">
        <v>252</v>
      </c>
      <c r="AE95" s="6"/>
      <c r="AF95" s="6"/>
      <c r="AG95" s="6"/>
      <c r="BR95" s="2"/>
      <c r="BS95" s="2"/>
      <c r="BT95" s="2"/>
      <c r="BU95" s="2"/>
      <c r="BV95" s="2"/>
      <c r="BW95" s="2"/>
      <c r="BX95" s="2"/>
      <c r="BY95" s="2"/>
      <c r="BZ95" s="2"/>
    </row>
    <row r="96" spans="1:78" ht="13.5">
      <c r="A96" s="1" t="s">
        <v>253</v>
      </c>
      <c r="C96" s="28">
        <v>0.75</v>
      </c>
      <c r="E96" s="1" t="s">
        <v>254</v>
      </c>
      <c r="BR96" s="2"/>
      <c r="BS96" s="2"/>
      <c r="BT96" s="2"/>
      <c r="BU96" s="2"/>
      <c r="BV96" s="2"/>
      <c r="BW96" s="2"/>
      <c r="BX96" s="2"/>
      <c r="BY96" s="2"/>
      <c r="BZ96" s="2"/>
    </row>
    <row r="97" spans="70:78" ht="13.5">
      <c r="BR97" s="2"/>
      <c r="BS97" s="2"/>
      <c r="BT97" s="2"/>
      <c r="BU97" s="2"/>
      <c r="BV97" s="2"/>
      <c r="BW97" s="2"/>
      <c r="BX97" s="2"/>
      <c r="BY97" s="2"/>
      <c r="BZ97" s="2"/>
    </row>
    <row r="98" spans="2:78" ht="13.5">
      <c r="B98" s="1" t="s">
        <v>255</v>
      </c>
      <c r="BR98" s="2"/>
      <c r="BS98" s="2"/>
      <c r="BT98" s="2"/>
      <c r="BU98" s="2"/>
      <c r="BV98" s="2"/>
      <c r="BW98" s="2"/>
      <c r="BX98" s="2"/>
      <c r="BY98" s="2"/>
      <c r="BZ98" s="2"/>
    </row>
    <row r="99" spans="70:78" ht="13.5">
      <c r="BR99" s="2"/>
      <c r="BS99" s="2"/>
      <c r="BT99" s="2"/>
      <c r="BU99" s="2"/>
      <c r="BV99" s="2"/>
      <c r="BW99" s="2"/>
      <c r="BX99" s="2"/>
      <c r="BY99" s="2"/>
      <c r="BZ99" s="2"/>
    </row>
    <row r="100" spans="1:78" ht="13.5">
      <c r="A100" s="1" t="s">
        <v>256</v>
      </c>
      <c r="C100" s="27">
        <v>812500</v>
      </c>
      <c r="E100" s="1" t="s">
        <v>257</v>
      </c>
      <c r="AE100" s="6"/>
      <c r="AF100" s="6"/>
      <c r="AG100" s="6"/>
      <c r="BR100" s="2"/>
      <c r="BS100" s="2"/>
      <c r="BT100" s="2"/>
      <c r="BU100" s="2"/>
      <c r="BV100" s="2"/>
      <c r="BW100" s="2"/>
      <c r="BX100" s="2"/>
      <c r="BY100" s="2"/>
      <c r="BZ100" s="2"/>
    </row>
    <row r="101" spans="1:78" ht="13.5">
      <c r="A101" s="1" t="s">
        <v>258</v>
      </c>
      <c r="C101" s="27">
        <v>125000</v>
      </c>
      <c r="E101" s="1" t="s">
        <v>259</v>
      </c>
      <c r="AE101" s="6"/>
      <c r="AF101" s="6"/>
      <c r="AG101" s="6"/>
      <c r="BR101" s="2"/>
      <c r="BS101" s="2"/>
      <c r="BT101" s="2"/>
      <c r="BU101" s="2"/>
      <c r="BV101" s="2"/>
      <c r="BW101" s="2"/>
      <c r="BX101" s="2"/>
      <c r="BY101" s="2"/>
      <c r="BZ101" s="2"/>
    </row>
    <row r="102" spans="1:78" ht="13.5">
      <c r="A102" s="1" t="s">
        <v>260</v>
      </c>
      <c r="C102" s="27" t="s">
        <v>261</v>
      </c>
      <c r="BR102" s="2"/>
      <c r="BS102" s="2"/>
      <c r="BT102" s="2"/>
      <c r="BU102" s="2"/>
      <c r="BV102" s="2"/>
      <c r="BW102" s="2"/>
      <c r="BX102" s="2"/>
      <c r="BY102" s="2"/>
      <c r="BZ102" s="2"/>
    </row>
    <row r="103" spans="1:78" ht="13.5">
      <c r="A103" s="1" t="s">
        <v>262</v>
      </c>
      <c r="C103" s="27">
        <v>280000</v>
      </c>
      <c r="BR103" s="2"/>
      <c r="BS103" s="2"/>
      <c r="BT103" s="2"/>
      <c r="BU103" s="2"/>
      <c r="BV103" s="2"/>
      <c r="BW103" s="2"/>
      <c r="BX103" s="2"/>
      <c r="BY103" s="2"/>
      <c r="BZ103" s="2"/>
    </row>
    <row r="104" spans="1:78" ht="13.5">
      <c r="A104" s="1" t="s">
        <v>449</v>
      </c>
      <c r="C104" s="27" t="s">
        <v>261</v>
      </c>
      <c r="AE104" s="6"/>
      <c r="AF104" s="6"/>
      <c r="AG104" s="6"/>
      <c r="BR104" s="2"/>
      <c r="BS104" s="2"/>
      <c r="BT104" s="2"/>
      <c r="BU104" s="2"/>
      <c r="BV104" s="2"/>
      <c r="BW104" s="2"/>
      <c r="BX104" s="2"/>
      <c r="BY104" s="2"/>
      <c r="BZ104" s="2"/>
    </row>
    <row r="105" spans="1:78" ht="13.5">
      <c r="A105" s="1" t="s">
        <v>264</v>
      </c>
      <c r="C105" s="27">
        <v>85000</v>
      </c>
      <c r="BR105" s="2"/>
      <c r="BS105" s="2"/>
      <c r="BT105" s="2"/>
      <c r="BU105" s="2"/>
      <c r="BV105" s="2"/>
      <c r="BW105" s="2"/>
      <c r="BX105" s="2"/>
      <c r="BY105" s="2"/>
      <c r="BZ105" s="2"/>
    </row>
    <row r="106" spans="1:78" ht="13.5">
      <c r="A106" s="1" t="s">
        <v>265</v>
      </c>
      <c r="C106" s="27">
        <v>15000</v>
      </c>
      <c r="D106" s="31">
        <f>(C83*1000)*800</f>
        <v>850400000</v>
      </c>
      <c r="BR106" s="2"/>
      <c r="BS106" s="2"/>
      <c r="BT106" s="2"/>
      <c r="BU106" s="2"/>
      <c r="BV106" s="2"/>
      <c r="BW106" s="2"/>
      <c r="BX106" s="2"/>
      <c r="BY106" s="2"/>
      <c r="BZ106" s="2"/>
    </row>
    <row r="107" spans="1:78" ht="13.5">
      <c r="A107" s="1" t="s">
        <v>266</v>
      </c>
      <c r="C107" s="27">
        <v>110000</v>
      </c>
      <c r="AE107" s="6"/>
      <c r="AF107" s="6"/>
      <c r="AG107" s="6"/>
      <c r="BR107" s="2"/>
      <c r="BS107" s="2"/>
      <c r="BT107" s="2"/>
      <c r="BU107" s="2"/>
      <c r="BV107" s="2"/>
      <c r="BW107" s="2"/>
      <c r="BX107" s="2"/>
      <c r="BY107" s="2"/>
      <c r="BZ107" s="2"/>
    </row>
    <row r="108" spans="1:78" ht="13.5">
      <c r="A108" s="1" t="s">
        <v>267</v>
      </c>
      <c r="C108" s="27">
        <v>8000</v>
      </c>
      <c r="BR108" s="2"/>
      <c r="BS108" s="2"/>
      <c r="BT108" s="2"/>
      <c r="BU108" s="2"/>
      <c r="BV108" s="2"/>
      <c r="BW108" s="2"/>
      <c r="BX108" s="2"/>
      <c r="BY108" s="2"/>
      <c r="BZ108" s="2"/>
    </row>
    <row r="109" spans="1:78" ht="13.5">
      <c r="A109" s="1" t="s">
        <v>268</v>
      </c>
      <c r="C109" s="27">
        <v>5000</v>
      </c>
      <c r="BR109" s="2"/>
      <c r="BS109" s="2"/>
      <c r="BT109" s="2"/>
      <c r="BU109" s="2"/>
      <c r="BV109" s="2"/>
      <c r="BW109" s="2"/>
      <c r="BX109" s="2"/>
      <c r="BY109" s="2"/>
      <c r="BZ109" s="2"/>
    </row>
    <row r="110" spans="1:78" ht="13.5">
      <c r="A110" s="1" t="s">
        <v>269</v>
      </c>
      <c r="C110" s="27" t="s">
        <v>261</v>
      </c>
      <c r="BR110" s="2"/>
      <c r="BS110" s="2"/>
      <c r="BT110" s="2"/>
      <c r="BU110" s="2"/>
      <c r="BV110" s="2"/>
      <c r="BW110" s="2"/>
      <c r="BX110" s="2"/>
      <c r="BY110" s="2"/>
      <c r="BZ110" s="2"/>
    </row>
    <row r="111" spans="1:78" ht="13.5">
      <c r="A111" s="1" t="s">
        <v>270</v>
      </c>
      <c r="C111" s="27">
        <v>20000</v>
      </c>
      <c r="AE111" s="6"/>
      <c r="AF111" s="6"/>
      <c r="AG111" s="6"/>
      <c r="BR111" s="2"/>
      <c r="BS111" s="2"/>
      <c r="BT111" s="2"/>
      <c r="BU111" s="2"/>
      <c r="BV111" s="2"/>
      <c r="BW111" s="2"/>
      <c r="BX111" s="2"/>
      <c r="BY111" s="2"/>
      <c r="BZ111" s="2"/>
    </row>
    <row r="112" spans="1:78" ht="13.5">
      <c r="A112" s="1" t="s">
        <v>271</v>
      </c>
      <c r="C112" s="27">
        <v>12000</v>
      </c>
      <c r="BR112" s="2"/>
      <c r="BS112" s="2"/>
      <c r="BT112" s="2"/>
      <c r="BU112" s="2"/>
      <c r="BV112" s="2"/>
      <c r="BW112" s="2"/>
      <c r="BX112" s="2"/>
      <c r="BY112" s="2"/>
      <c r="BZ112" s="2"/>
    </row>
    <row r="113" spans="1:78" ht="13.5">
      <c r="A113" s="1" t="s">
        <v>272</v>
      </c>
      <c r="C113" s="27" t="s">
        <v>273</v>
      </c>
      <c r="BR113" s="2"/>
      <c r="BS113" s="2"/>
      <c r="BT113" s="2"/>
      <c r="BU113" s="2"/>
      <c r="BV113" s="2"/>
      <c r="BW113" s="2"/>
      <c r="BX113" s="2"/>
      <c r="BY113" s="2"/>
      <c r="BZ113" s="2"/>
    </row>
    <row r="114" spans="3:78" ht="13.5">
      <c r="C114" s="3" t="s">
        <v>4</v>
      </c>
      <c r="BR114" s="2"/>
      <c r="BS114" s="2"/>
      <c r="BT114" s="2"/>
      <c r="BU114" s="2"/>
      <c r="BV114" s="2"/>
      <c r="BW114" s="2"/>
      <c r="BX114" s="2"/>
      <c r="BY114" s="2"/>
      <c r="BZ114" s="2"/>
    </row>
    <row r="115" spans="1:78" ht="13.5">
      <c r="A115" s="1" t="s">
        <v>274</v>
      </c>
      <c r="C115" s="6">
        <f>SUM(C100:C113)</f>
        <v>1472500</v>
      </c>
      <c r="BR115" s="2"/>
      <c r="BS115" s="2"/>
      <c r="BT115" s="2"/>
      <c r="BU115" s="2"/>
      <c r="BV115" s="2"/>
      <c r="BW115" s="2"/>
      <c r="BX115" s="2"/>
      <c r="BY115" s="2"/>
      <c r="BZ115" s="2"/>
    </row>
    <row r="116" spans="70:78" ht="13.5">
      <c r="BR116" s="2"/>
      <c r="BS116" s="2"/>
      <c r="BT116" s="2"/>
      <c r="BU116" s="2"/>
      <c r="BV116" s="2"/>
      <c r="BW116" s="2"/>
      <c r="BX116" s="2"/>
      <c r="BY116" s="2"/>
      <c r="BZ116" s="2"/>
    </row>
    <row r="117" spans="1:78" ht="13.5">
      <c r="A117" s="1" t="s">
        <v>275</v>
      </c>
      <c r="C117" s="32">
        <v>0.08</v>
      </c>
      <c r="E117" s="1" t="s">
        <v>276</v>
      </c>
      <c r="BR117" s="2"/>
      <c r="BS117" s="2"/>
      <c r="BT117" s="2"/>
      <c r="BU117" s="2"/>
      <c r="BV117" s="2"/>
      <c r="BW117" s="2"/>
      <c r="BX117" s="2"/>
      <c r="BY117" s="2"/>
      <c r="BZ117" s="2"/>
    </row>
    <row r="118" spans="1:78" ht="13.5">
      <c r="A118" s="1" t="s">
        <v>277</v>
      </c>
      <c r="C118" s="21">
        <v>0</v>
      </c>
      <c r="BR118" s="2"/>
      <c r="BS118" s="2"/>
      <c r="BT118" s="2"/>
      <c r="BU118" s="2"/>
      <c r="BV118" s="2"/>
      <c r="BW118" s="2"/>
      <c r="BX118" s="2"/>
      <c r="BY118" s="2"/>
      <c r="BZ118" s="2"/>
    </row>
    <row r="119" spans="1:78" ht="13.5">
      <c r="A119" s="1" t="s">
        <v>278</v>
      </c>
      <c r="C119" s="32" t="s">
        <v>10</v>
      </c>
      <c r="BR119" s="2"/>
      <c r="BS119" s="2"/>
      <c r="BT119" s="2"/>
      <c r="BU119" s="2"/>
      <c r="BV119" s="2"/>
      <c r="BW119" s="2"/>
      <c r="BX119" s="2"/>
      <c r="BY119" s="2"/>
      <c r="BZ119" s="2"/>
    </row>
    <row r="120" spans="1:78" ht="13.5">
      <c r="A120" s="1" t="s">
        <v>279</v>
      </c>
      <c r="C120" s="21">
        <v>0</v>
      </c>
      <c r="BR120" s="2"/>
      <c r="BS120" s="2"/>
      <c r="BT120" s="2"/>
      <c r="BU120" s="2"/>
      <c r="BV120" s="2"/>
      <c r="BW120" s="2"/>
      <c r="BX120" s="2"/>
      <c r="BY120" s="2"/>
      <c r="BZ120" s="2"/>
    </row>
    <row r="121" spans="3:78" ht="13.5">
      <c r="C121" s="3" t="s">
        <v>4</v>
      </c>
      <c r="BR121" s="2"/>
      <c r="BS121" s="2"/>
      <c r="BT121" s="2"/>
      <c r="BU121" s="2"/>
      <c r="BV121" s="2"/>
      <c r="BW121" s="2"/>
      <c r="BX121" s="2"/>
      <c r="BY121" s="2"/>
      <c r="BZ121" s="2"/>
    </row>
    <row r="122" spans="1:5" ht="13.5">
      <c r="A122" s="1" t="s">
        <v>280</v>
      </c>
      <c r="C122" s="21">
        <f>C115*C117</f>
        <v>117800</v>
      </c>
      <c r="E122" s="1" t="s">
        <v>281</v>
      </c>
    </row>
    <row r="123" ht="13.5">
      <c r="E123" s="1" t="s">
        <v>282</v>
      </c>
    </row>
    <row r="124" ht="13.5">
      <c r="B124" s="1" t="s">
        <v>283</v>
      </c>
    </row>
    <row r="126" spans="1:5" ht="13.5">
      <c r="A126" s="1" t="s">
        <v>284</v>
      </c>
      <c r="C126" s="27">
        <v>30000</v>
      </c>
      <c r="E126" s="1" t="s">
        <v>285</v>
      </c>
    </row>
    <row r="127" spans="1:3" ht="13.5">
      <c r="A127" s="1" t="s">
        <v>286</v>
      </c>
      <c r="C127" s="27">
        <v>140000</v>
      </c>
    </row>
    <row r="128" spans="1:3" ht="13.5">
      <c r="A128" s="1" t="s">
        <v>287</v>
      </c>
      <c r="C128" s="27">
        <v>8000</v>
      </c>
    </row>
    <row r="129" spans="1:3" ht="13.5">
      <c r="A129" s="1" t="s">
        <v>288</v>
      </c>
      <c r="C129" s="27">
        <v>1600</v>
      </c>
    </row>
    <row r="130" spans="1:3" ht="13.5">
      <c r="A130" s="1" t="s">
        <v>289</v>
      </c>
      <c r="C130" s="27">
        <v>12000</v>
      </c>
    </row>
    <row r="131" spans="1:3" ht="13.5">
      <c r="A131" s="1" t="s">
        <v>290</v>
      </c>
      <c r="C131" s="27">
        <v>2000</v>
      </c>
    </row>
    <row r="132" spans="1:3" ht="13.5">
      <c r="A132" s="1" t="s">
        <v>291</v>
      </c>
      <c r="C132" s="6" t="s">
        <v>273</v>
      </c>
    </row>
    <row r="133" spans="1:3" ht="13.5">
      <c r="A133" s="1" t="s">
        <v>292</v>
      </c>
      <c r="C133" s="27">
        <v>10000</v>
      </c>
    </row>
    <row r="134" ht="13.5">
      <c r="C134" s="3" t="s">
        <v>4</v>
      </c>
    </row>
    <row r="135" spans="1:3" ht="13.5">
      <c r="A135" s="1" t="s">
        <v>293</v>
      </c>
      <c r="C135" s="6">
        <f>SUM(C126:C133)</f>
        <v>203600</v>
      </c>
    </row>
    <row r="137" spans="1:3" ht="13.5">
      <c r="A137" s="1" t="s">
        <v>294</v>
      </c>
      <c r="C137" s="6">
        <f>C115+C135+C122</f>
        <v>1793900</v>
      </c>
    </row>
    <row r="138" spans="1:5" ht="13.5">
      <c r="A138" s="1" t="s">
        <v>295</v>
      </c>
      <c r="C138" s="27">
        <v>844000</v>
      </c>
      <c r="E138" s="1" t="s">
        <v>296</v>
      </c>
    </row>
    <row r="139" spans="1:5" ht="13.5">
      <c r="A139" s="1" t="s">
        <v>167</v>
      </c>
      <c r="C139" s="27">
        <v>373000</v>
      </c>
      <c r="E139" s="1" t="s">
        <v>297</v>
      </c>
    </row>
    <row r="140" ht="13.5">
      <c r="C140" s="3" t="s">
        <v>4</v>
      </c>
    </row>
    <row r="141" spans="1:5" ht="13.5">
      <c r="A141" s="1" t="s">
        <v>298</v>
      </c>
      <c r="C141" s="6">
        <f>C137-C138</f>
        <v>949900</v>
      </c>
      <c r="E141" s="1" t="s">
        <v>299</v>
      </c>
    </row>
    <row r="142" spans="1:5" ht="13.5">
      <c r="A142" s="1" t="s">
        <v>300</v>
      </c>
      <c r="C142" s="25">
        <f>W56</f>
        <v>0.9293952658502735</v>
      </c>
      <c r="E142" s="1" t="s">
        <v>301</v>
      </c>
    </row>
    <row r="143" spans="1:5" ht="13.5">
      <c r="A143" s="1" t="s">
        <v>302</v>
      </c>
      <c r="C143" s="32">
        <v>0.08</v>
      </c>
      <c r="E143" s="1" t="s">
        <v>303</v>
      </c>
    </row>
    <row r="144" spans="1:5" ht="13.5">
      <c r="A144" s="1" t="s">
        <v>304</v>
      </c>
      <c r="C144" s="2">
        <v>60</v>
      </c>
      <c r="E144" s="1" t="s">
        <v>305</v>
      </c>
    </row>
    <row r="145" spans="1:5" ht="13.5">
      <c r="A145" s="1" t="s">
        <v>306</v>
      </c>
      <c r="C145" s="6">
        <f>PMT(C143/12,C144,-C141)</f>
        <v>19260.546934564154</v>
      </c>
      <c r="E145" s="1" t="s">
        <v>307</v>
      </c>
    </row>
    <row r="146" spans="1:5" ht="13.5">
      <c r="A146" s="1" t="s">
        <v>308</v>
      </c>
      <c r="C146" s="20">
        <v>0.3</v>
      </c>
      <c r="E146" s="1" t="s">
        <v>309</v>
      </c>
    </row>
    <row r="147" spans="1:5" ht="13.5">
      <c r="A147" s="1" t="s">
        <v>310</v>
      </c>
      <c r="C147" s="6">
        <f>(+U36-U21)/12</f>
        <v>75392.47952553205</v>
      </c>
      <c r="E147" s="1" t="s">
        <v>311</v>
      </c>
    </row>
    <row r="148" spans="1:5" ht="13.5">
      <c r="A148" s="1" t="s">
        <v>312</v>
      </c>
      <c r="C148" s="6">
        <f>C147-C145</f>
        <v>56131.932590967896</v>
      </c>
      <c r="E148" s="1" t="s">
        <v>313</v>
      </c>
    </row>
    <row r="149" spans="1:5" ht="13.5">
      <c r="A149" s="1" t="s">
        <v>314</v>
      </c>
      <c r="C149" s="6">
        <f>U36/12</f>
        <v>80142.47952553205</v>
      </c>
      <c r="E149" s="1" t="s">
        <v>315</v>
      </c>
    </row>
    <row r="150" spans="1:5" ht="13.5">
      <c r="A150" s="1" t="s">
        <v>312</v>
      </c>
      <c r="C150" s="6">
        <f>C149-C145</f>
        <v>60881.932590967896</v>
      </c>
      <c r="E150" s="1" t="s">
        <v>313</v>
      </c>
    </row>
    <row r="151" spans="1:5" ht="13.5">
      <c r="A151" s="1" t="s">
        <v>316</v>
      </c>
      <c r="C151" s="8" t="s">
        <v>431</v>
      </c>
      <c r="D151" t="s">
        <v>10</v>
      </c>
      <c r="E151" s="1" t="s">
        <v>317</v>
      </c>
    </row>
    <row r="153" ht="13.5">
      <c r="B153" s="1" t="s">
        <v>318</v>
      </c>
    </row>
    <row r="154" spans="1:29" ht="13.5">
      <c r="A154" s="1" t="s">
        <v>319</v>
      </c>
      <c r="C154" s="2">
        <v>918</v>
      </c>
      <c r="E154" s="1" t="s">
        <v>320</v>
      </c>
      <c r="AC154" s="6"/>
    </row>
    <row r="155" spans="1:29" ht="13.5">
      <c r="A155" s="1" t="s">
        <v>321</v>
      </c>
      <c r="C155" s="8" t="s">
        <v>322</v>
      </c>
      <c r="E155" s="1" t="s">
        <v>323</v>
      </c>
      <c r="AC155" s="6"/>
    </row>
    <row r="156" spans="1:5" ht="13.5">
      <c r="A156" s="1" t="s">
        <v>324</v>
      </c>
      <c r="C156" s="2">
        <v>0</v>
      </c>
      <c r="E156" s="1" t="s">
        <v>325</v>
      </c>
    </row>
    <row r="157" spans="1:5" ht="13.5">
      <c r="A157" s="1" t="s">
        <v>326</v>
      </c>
      <c r="C157" s="8" t="s">
        <v>10</v>
      </c>
      <c r="E157" s="1" t="s">
        <v>327</v>
      </c>
    </row>
    <row r="159" ht="13.5">
      <c r="C159" s="6"/>
    </row>
    <row r="160" spans="1:4" ht="13.5">
      <c r="A160" s="1" t="s">
        <v>328</v>
      </c>
      <c r="B160" s="2"/>
      <c r="C160" s="2"/>
      <c r="D160" s="2"/>
    </row>
    <row r="161" ht="13.5">
      <c r="A161" s="1" t="s">
        <v>329</v>
      </c>
    </row>
    <row r="162" ht="13.5">
      <c r="A162" s="1" t="s">
        <v>330</v>
      </c>
    </row>
    <row r="163" spans="1:8" ht="13.5">
      <c r="A163" s="1" t="s">
        <v>331</v>
      </c>
      <c r="H163" t="s">
        <v>10</v>
      </c>
    </row>
    <row r="165" ht="13.5">
      <c r="A165" s="1" t="s">
        <v>332</v>
      </c>
    </row>
    <row r="166" ht="13.5">
      <c r="A166" s="1" t="s">
        <v>333</v>
      </c>
    </row>
    <row r="167" ht="13.5">
      <c r="A167" s="1" t="s">
        <v>334</v>
      </c>
    </row>
    <row r="168" ht="13.5">
      <c r="A168" s="1" t="s">
        <v>335</v>
      </c>
    </row>
    <row r="170" ht="13.5">
      <c r="A170" s="1" t="s">
        <v>336</v>
      </c>
    </row>
    <row r="171" ht="13.5">
      <c r="A171" s="1" t="s">
        <v>337</v>
      </c>
    </row>
    <row r="172" ht="13.5">
      <c r="A172" s="1" t="s">
        <v>338</v>
      </c>
    </row>
    <row r="173" ht="13.5">
      <c r="A173" s="1" t="s">
        <v>339</v>
      </c>
    </row>
    <row r="174" spans="2:4" ht="13.5">
      <c r="B174" s="2"/>
      <c r="C174" s="2"/>
      <c r="D174" s="2"/>
    </row>
    <row r="175" spans="1:4" ht="13.5">
      <c r="A175" s="1" t="s">
        <v>340</v>
      </c>
      <c r="B175" s="2"/>
      <c r="C175" s="2"/>
      <c r="D175" s="2"/>
    </row>
    <row r="176" spans="1:4" ht="13.5">
      <c r="A176" s="1" t="s">
        <v>341</v>
      </c>
      <c r="B176" s="2"/>
      <c r="C176" s="2"/>
      <c r="D176" s="2"/>
    </row>
    <row r="177" spans="1:4" ht="13.5">
      <c r="A177" s="1" t="s">
        <v>342</v>
      </c>
      <c r="B177" s="2"/>
      <c r="C177" s="2"/>
      <c r="D177" s="2"/>
    </row>
    <row r="178" spans="2:4" ht="13.5">
      <c r="B178" s="2"/>
      <c r="C178" s="2"/>
      <c r="D178" s="2"/>
    </row>
    <row r="179" spans="1:4" ht="13.5">
      <c r="A179" s="1" t="s">
        <v>343</v>
      </c>
      <c r="B179" s="2"/>
      <c r="C179" s="2"/>
      <c r="D179" s="2"/>
    </row>
    <row r="180" spans="1:4" ht="13.5">
      <c r="A180" s="1" t="s">
        <v>344</v>
      </c>
      <c r="B180" s="2"/>
      <c r="C180" s="2"/>
      <c r="D180" s="2"/>
    </row>
    <row r="181" spans="2:4" ht="13.5">
      <c r="B181" s="2"/>
      <c r="C181" s="2"/>
      <c r="D181" s="2"/>
    </row>
    <row r="182" spans="1:4" ht="13.5">
      <c r="A182" s="1" t="s">
        <v>345</v>
      </c>
      <c r="B182" s="2"/>
      <c r="C182" s="2"/>
      <c r="D182" s="2"/>
    </row>
    <row r="183" spans="1:4" ht="13.5">
      <c r="A183" s="1" t="s">
        <v>346</v>
      </c>
      <c r="B183" s="2"/>
      <c r="C183" s="2"/>
      <c r="D183" s="2"/>
    </row>
    <row r="184" spans="1:4" ht="13.5">
      <c r="A184" s="1" t="s">
        <v>347</v>
      </c>
      <c r="B184" s="2"/>
      <c r="C184" s="2"/>
      <c r="D184" s="2"/>
    </row>
    <row r="185" spans="1:4" ht="13.5">
      <c r="A185" s="1" t="s">
        <v>348</v>
      </c>
      <c r="B185" s="2"/>
      <c r="C185" s="2"/>
      <c r="D185" s="2"/>
    </row>
    <row r="186" spans="1:4" ht="13.5">
      <c r="A186" s="1" t="s">
        <v>349</v>
      </c>
      <c r="B186" s="2"/>
      <c r="C186" s="2"/>
      <c r="D186" s="2"/>
    </row>
    <row r="187" spans="2:4" ht="13.5">
      <c r="B187" s="2"/>
      <c r="C187" s="2"/>
      <c r="D187" s="2"/>
    </row>
    <row r="188" spans="1:4" ht="13.5">
      <c r="A188" s="1" t="s">
        <v>350</v>
      </c>
      <c r="B188" s="2"/>
      <c r="C188" s="2"/>
      <c r="D188" s="2"/>
    </row>
    <row r="189" spans="1:4" ht="13.5">
      <c r="A189" s="1" t="s">
        <v>351</v>
      </c>
      <c r="B189" s="2"/>
      <c r="C189" s="2"/>
      <c r="D189" s="2"/>
    </row>
    <row r="190" spans="2:4" ht="13.5">
      <c r="B190" s="2"/>
      <c r="C190" s="2"/>
      <c r="D190" s="2"/>
    </row>
    <row r="191" spans="1:4" ht="13.5">
      <c r="A191" s="1" t="s">
        <v>352</v>
      </c>
      <c r="B191" s="2"/>
      <c r="C191" s="2"/>
      <c r="D191" s="2"/>
    </row>
    <row r="192" spans="1:4" ht="13.5">
      <c r="A192" s="1" t="s">
        <v>353</v>
      </c>
      <c r="B192" s="2"/>
      <c r="C192" s="2"/>
      <c r="D192" s="2"/>
    </row>
    <row r="193" spans="1:4" ht="13.5">
      <c r="A193" s="1" t="s">
        <v>354</v>
      </c>
      <c r="B193" s="2"/>
      <c r="C193" s="2"/>
      <c r="D193" s="2"/>
    </row>
    <row r="194" spans="2:4" ht="13.5">
      <c r="B194" s="2"/>
      <c r="C194" s="2"/>
      <c r="D194" s="2"/>
    </row>
    <row r="195" spans="2:4" ht="13.5">
      <c r="B195" s="2"/>
      <c r="C195" s="2"/>
      <c r="D195" s="2"/>
    </row>
    <row r="196" spans="2:4" ht="13.5">
      <c r="B196" s="2"/>
      <c r="C196" s="2"/>
      <c r="D196" s="2"/>
    </row>
    <row r="203" spans="15:24" ht="13.5"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5:24" ht="13.5"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5:24" ht="13.5"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5:24" ht="13.5"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5:24" ht="13.5"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5:24" ht="13.5"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5:24" ht="13.5"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5:24" ht="13.5">
      <c r="O210" s="2"/>
      <c r="P210" s="2"/>
      <c r="Q210" s="2"/>
      <c r="R210" s="2"/>
      <c r="S210" s="8" t="s">
        <v>10</v>
      </c>
      <c r="T210" s="2"/>
      <c r="U210" s="2"/>
      <c r="V210" s="2"/>
      <c r="W210" s="2"/>
      <c r="X210" s="2"/>
    </row>
    <row r="211" spans="15:24" ht="13.5"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5:24" ht="13.5"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3.5">
      <c r="A213" s="6"/>
      <c r="U213" s="2"/>
      <c r="V213" s="2"/>
      <c r="W213" s="2"/>
      <c r="X213" s="2"/>
    </row>
    <row r="214" spans="1:24" ht="13.5">
      <c r="A214" s="1" t="s">
        <v>355</v>
      </c>
      <c r="U214" s="2"/>
      <c r="V214" s="2"/>
      <c r="W214" s="2"/>
      <c r="X214" s="2"/>
    </row>
    <row r="215" spans="1:24" ht="13.5">
      <c r="A215" s="1" t="s">
        <v>356</v>
      </c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21:24" ht="13.5">
      <c r="U216" s="2"/>
      <c r="V216" s="2"/>
      <c r="W216" s="2"/>
      <c r="X216" s="2"/>
    </row>
    <row r="217" spans="2:24" ht="13.5">
      <c r="B217" s="1" t="s">
        <v>357</v>
      </c>
      <c r="D217" s="5">
        <f>(+C92-C91)*C69</f>
        <v>-52082</v>
      </c>
      <c r="U217" s="2"/>
      <c r="V217" s="2"/>
      <c r="W217" s="2"/>
      <c r="X217" s="2"/>
    </row>
    <row r="218" spans="2:24" ht="13.5">
      <c r="B218" s="1" t="s">
        <v>358</v>
      </c>
      <c r="D218" s="5">
        <f>D228+D217</f>
        <v>1471798</v>
      </c>
      <c r="U218" s="27"/>
      <c r="V218" s="27"/>
      <c r="W218" s="2"/>
      <c r="X218" s="2"/>
    </row>
    <row r="219" spans="2:26" ht="13.5">
      <c r="B219" s="2"/>
      <c r="C219" s="2"/>
      <c r="D219" s="5">
        <f>((C70/100)*(C71/100))</f>
        <v>0.68</v>
      </c>
      <c r="O219" s="2"/>
      <c r="R219" s="2"/>
      <c r="S219" s="2"/>
      <c r="U219" s="6"/>
      <c r="V219" s="6"/>
      <c r="W219" s="6"/>
      <c r="X219" s="6"/>
      <c r="Y219" s="6"/>
      <c r="Z219" s="6"/>
    </row>
    <row r="220" spans="2:26" ht="13.5">
      <c r="B220" s="8" t="s">
        <v>359</v>
      </c>
      <c r="C220" s="2"/>
      <c r="D220" s="2"/>
      <c r="P220" s="27"/>
      <c r="R220" s="6"/>
      <c r="S220" s="27"/>
      <c r="U220" s="6"/>
      <c r="V220" s="6"/>
      <c r="W220" s="6"/>
      <c r="X220" s="6"/>
      <c r="Y220" s="6"/>
      <c r="Z220" s="6"/>
    </row>
    <row r="221" spans="2:26" ht="13.5">
      <c r="B221" s="16" t="b">
        <f>B61&gt;0</f>
        <v>1</v>
      </c>
      <c r="C221" s="16">
        <f>IF(C222,D221,D222)</f>
        <v>4003.1304347826085</v>
      </c>
      <c r="D221" s="16">
        <f>SUM(N21/N29)</f>
        <v>4003.1304347826085</v>
      </c>
      <c r="P221" s="27"/>
      <c r="R221" s="6"/>
      <c r="S221" s="27"/>
      <c r="U221" s="6"/>
      <c r="V221" s="6"/>
      <c r="W221" s="6"/>
      <c r="X221" s="6"/>
      <c r="Y221" s="6"/>
      <c r="Z221" s="6"/>
    </row>
    <row r="222" spans="2:19" ht="13.5">
      <c r="B222" s="2">
        <f>IF(B61=0,0,(C61/B61))</f>
        <v>11.17879209574172</v>
      </c>
      <c r="C222" s="5" t="b">
        <f>C223&gt;1</f>
        <v>1</v>
      </c>
      <c r="D222" s="5">
        <f>SUM(N21/N29)*F223</f>
        <v>9176.470588235294</v>
      </c>
      <c r="P222" s="27"/>
      <c r="R222" s="6"/>
      <c r="S222" s="27"/>
    </row>
    <row r="223" spans="3:19" ht="13.5">
      <c r="C223" s="25">
        <f>F223</f>
        <v>2.292323654633458</v>
      </c>
      <c r="E223" s="1" t="s">
        <v>360</v>
      </c>
      <c r="F223" s="20">
        <f>IF(B29=0,0,(N31/N30))</f>
        <v>2.292323654633458</v>
      </c>
      <c r="P223" s="27"/>
      <c r="R223" s="6"/>
      <c r="S223" s="27"/>
    </row>
    <row r="224" spans="2:19" ht="13.5">
      <c r="B224" s="1" t="s">
        <v>361</v>
      </c>
      <c r="D224" s="17">
        <f>R18</f>
        <v>0.13986324629434171</v>
      </c>
      <c r="E224" s="1" t="s">
        <v>178</v>
      </c>
      <c r="F224" s="6">
        <f>IF(B29=0,0,(+N29*C221*N18))</f>
        <v>165495.19999999998</v>
      </c>
      <c r="R224" s="6"/>
      <c r="S224" s="27"/>
    </row>
    <row r="225" spans="2:19" ht="13.5">
      <c r="B225" s="1" t="s">
        <v>362</v>
      </c>
      <c r="D225" s="6">
        <f>R19*R18</f>
        <v>1523880.0000000002</v>
      </c>
      <c r="R225" s="6"/>
      <c r="S225" s="27"/>
    </row>
    <row r="226" spans="2:19" ht="13.5">
      <c r="B226" s="1" t="s">
        <v>363</v>
      </c>
      <c r="D226" s="19">
        <f>C91/C92</f>
        <v>1.3140724123790917</v>
      </c>
      <c r="F226" s="25">
        <f>((C83*3415.2)/(C84*1000))+((C85/C84)*100)</f>
        <v>85.08588442055205</v>
      </c>
      <c r="P226" s="2"/>
      <c r="R226" s="6"/>
      <c r="S226" s="27"/>
    </row>
    <row r="227" spans="2:19" ht="13.5">
      <c r="B227" s="1" t="s">
        <v>364</v>
      </c>
      <c r="D227" s="5">
        <f>R19</f>
        <v>10895500</v>
      </c>
      <c r="P227" s="2"/>
      <c r="R227" s="6"/>
      <c r="S227" s="27"/>
    </row>
    <row r="228" spans="2:16" ht="13.5">
      <c r="B228" s="1" t="s">
        <v>365</v>
      </c>
      <c r="D228" s="6">
        <f>R17</f>
        <v>1523880</v>
      </c>
      <c r="P228" s="2"/>
    </row>
    <row r="229" spans="2:25" ht="13.5">
      <c r="B229" s="1" t="s">
        <v>366</v>
      </c>
      <c r="D229" s="11">
        <f>R28-R19</f>
        <v>-2604100</v>
      </c>
      <c r="U229" s="6"/>
      <c r="V229" s="6"/>
      <c r="W229" s="6"/>
      <c r="X229" s="6"/>
      <c r="Y229" s="6"/>
    </row>
    <row r="230" spans="2:25" ht="13.5">
      <c r="B230" s="1" t="s">
        <v>367</v>
      </c>
      <c r="D230" s="5" t="b">
        <f>D226&lt;1</f>
        <v>0</v>
      </c>
      <c r="P230" s="2"/>
      <c r="U230" s="6"/>
      <c r="V230" s="6"/>
      <c r="W230" s="6"/>
      <c r="X230" s="6"/>
      <c r="Y230" s="6"/>
    </row>
    <row r="231" spans="2:16" ht="13.5">
      <c r="B231" s="2"/>
      <c r="C231" s="2"/>
      <c r="D231" s="2"/>
      <c r="H231" s="1" t="s">
        <v>368</v>
      </c>
      <c r="P231" s="2"/>
    </row>
    <row r="232" spans="1:14" ht="13.5">
      <c r="A232" s="12" t="s">
        <v>369</v>
      </c>
      <c r="B232" s="12" t="s">
        <v>370</v>
      </c>
      <c r="D232" s="12" t="s">
        <v>371</v>
      </c>
      <c r="F232" s="12" t="s">
        <v>372</v>
      </c>
      <c r="H232" s="8" t="s">
        <v>373</v>
      </c>
      <c r="J232" s="12" t="s">
        <v>374</v>
      </c>
      <c r="K232" s="12" t="s">
        <v>375</v>
      </c>
      <c r="L232" s="12" t="s">
        <v>376</v>
      </c>
      <c r="M232" s="12" t="s">
        <v>377</v>
      </c>
      <c r="N232" s="12" t="s">
        <v>378</v>
      </c>
    </row>
    <row r="233" spans="1:25" ht="13.5">
      <c r="A233" s="12" t="s">
        <v>379</v>
      </c>
      <c r="B233" s="12" t="s">
        <v>380</v>
      </c>
      <c r="D233" s="12" t="s">
        <v>381</v>
      </c>
      <c r="F233" s="12" t="s">
        <v>382</v>
      </c>
      <c r="J233" s="6">
        <f>Y19+(+Y19*$W$50)</f>
        <v>1657087.291693741</v>
      </c>
      <c r="K233" s="6">
        <f aca="true" t="shared" si="1" ref="K233:N234">J233+(+J233*$W$50)</f>
        <v>1706799.9104445532</v>
      </c>
      <c r="L233" s="6">
        <f t="shared" si="1"/>
        <v>1758003.90775789</v>
      </c>
      <c r="M233" s="6">
        <f t="shared" si="1"/>
        <v>1810744.0249906266</v>
      </c>
      <c r="N233" s="6">
        <f t="shared" si="1"/>
        <v>1865066.3457403453</v>
      </c>
      <c r="Q233" s="11">
        <f>N38*100</f>
        <v>9673</v>
      </c>
      <c r="U233" s="6"/>
      <c r="V233" s="6"/>
      <c r="W233" s="6"/>
      <c r="X233" s="6"/>
      <c r="Y233" s="6"/>
    </row>
    <row r="234" spans="1:32" ht="13.5">
      <c r="A234" s="1" t="s">
        <v>383</v>
      </c>
      <c r="B234" s="1" t="s">
        <v>384</v>
      </c>
      <c r="D234" s="1" t="s">
        <v>385</v>
      </c>
      <c r="F234" s="1" t="s">
        <v>386</v>
      </c>
      <c r="H234" s="8" t="s">
        <v>387</v>
      </c>
      <c r="J234" s="6">
        <f>Y20+(+Y20*$W$50)</f>
        <v>191854.29478109334</v>
      </c>
      <c r="K234" s="6">
        <f t="shared" si="1"/>
        <v>197609.92362452613</v>
      </c>
      <c r="L234" s="6">
        <f t="shared" si="1"/>
        <v>203538.2213332619</v>
      </c>
      <c r="M234" s="6">
        <f t="shared" si="1"/>
        <v>209644.36797325977</v>
      </c>
      <c r="N234" s="6">
        <f t="shared" si="1"/>
        <v>215933.69901245757</v>
      </c>
      <c r="Q234" s="11">
        <f>C154</f>
        <v>918</v>
      </c>
      <c r="S234" s="2"/>
      <c r="AA234" s="1" t="s">
        <v>388</v>
      </c>
      <c r="AB234" s="1" t="s">
        <v>389</v>
      </c>
      <c r="AD234" s="1" t="s">
        <v>390</v>
      </c>
      <c r="AF234" s="1" t="s">
        <v>389</v>
      </c>
    </row>
    <row r="235" spans="1:32" ht="13.5">
      <c r="A235" s="1" t="s">
        <v>391</v>
      </c>
      <c r="B235" s="1" t="s">
        <v>389</v>
      </c>
      <c r="D235" s="1" t="s">
        <v>389</v>
      </c>
      <c r="F235" s="1" t="s">
        <v>389</v>
      </c>
      <c r="H235" s="8" t="s">
        <v>392</v>
      </c>
      <c r="J235" s="6">
        <f>($W$46*0.1)/5</f>
        <v>18998</v>
      </c>
      <c r="K235" s="6">
        <f>$J$235</f>
        <v>18998</v>
      </c>
      <c r="L235" s="6">
        <f>$J$235</f>
        <v>18998</v>
      </c>
      <c r="M235" s="6">
        <f>$J$235</f>
        <v>18998</v>
      </c>
      <c r="N235" s="6">
        <f>$J$235</f>
        <v>18998</v>
      </c>
      <c r="Q235" s="33">
        <f>(N38*100)*C154</f>
        <v>8879814</v>
      </c>
      <c r="AA235" s="1" t="s">
        <v>393</v>
      </c>
      <c r="AB235" s="1" t="s">
        <v>390</v>
      </c>
      <c r="AD235" s="1" t="s">
        <v>394</v>
      </c>
      <c r="AF235" s="1" t="s">
        <v>390</v>
      </c>
    </row>
    <row r="236" spans="1:32" ht="13.5">
      <c r="A236" s="1" t="s">
        <v>389</v>
      </c>
      <c r="H236" s="8" t="s">
        <v>395</v>
      </c>
      <c r="J236" s="6">
        <f>SUM(J233:J235)</f>
        <v>1867939.5864748342</v>
      </c>
      <c r="K236" s="6">
        <f>SUM(K233:K235)</f>
        <v>1923407.8340690793</v>
      </c>
      <c r="L236" s="6">
        <f>SUM(L233:L235)</f>
        <v>1980540.1290911518</v>
      </c>
      <c r="M236" s="6">
        <f>SUM(M233:M235)</f>
        <v>2039386.3929638863</v>
      </c>
      <c r="N236" s="6">
        <f>SUM(N233:N235)</f>
        <v>2099998.0447528027</v>
      </c>
      <c r="Q236" s="11">
        <f>N31</f>
        <v>7800</v>
      </c>
      <c r="S236" s="2"/>
      <c r="U236" s="6"/>
      <c r="V236" s="6"/>
      <c r="W236" s="6"/>
      <c r="X236" s="6"/>
      <c r="Y236" s="6"/>
      <c r="AA236" s="1" t="s">
        <v>396</v>
      </c>
      <c r="AB236" s="1" t="s">
        <v>394</v>
      </c>
      <c r="AD236" s="1" t="s">
        <v>397</v>
      </c>
      <c r="AF236" s="1" t="s">
        <v>398</v>
      </c>
    </row>
    <row r="237" spans="8:32" ht="13.5">
      <c r="H237" s="8" t="s">
        <v>399</v>
      </c>
      <c r="J237" s="6">
        <f>SUM(Y29*$W$50)+Y29</f>
        <v>655999.0000611781</v>
      </c>
      <c r="K237" s="6">
        <f aca="true" t="shared" si="2" ref="K237:N238">SUM(J237*$W$50)+J237</f>
        <v>675678.9700630135</v>
      </c>
      <c r="L237" s="6">
        <f t="shared" si="2"/>
        <v>695949.3391649039</v>
      </c>
      <c r="M237" s="6">
        <f t="shared" si="2"/>
        <v>716827.8193398509</v>
      </c>
      <c r="N237" s="6">
        <f t="shared" si="2"/>
        <v>738332.6539200464</v>
      </c>
      <c r="Q237" s="11">
        <f>R27</f>
        <v>1063</v>
      </c>
      <c r="S237" s="2"/>
      <c r="AA237" s="1" t="s">
        <v>400</v>
      </c>
      <c r="AB237" s="1" t="s">
        <v>401</v>
      </c>
      <c r="AD237" s="1" t="s">
        <v>402</v>
      </c>
      <c r="AF237" s="1" t="s">
        <v>389</v>
      </c>
    </row>
    <row r="238" spans="8:32" ht="13.5">
      <c r="H238" s="8" t="s">
        <v>403</v>
      </c>
      <c r="J238" s="6">
        <f>SUM(Y30*$W$50)+Y30</f>
        <v>138500.495</v>
      </c>
      <c r="K238" s="6">
        <f t="shared" si="2"/>
        <v>142655.50985</v>
      </c>
      <c r="L238" s="6">
        <f t="shared" si="2"/>
        <v>146935.1751455</v>
      </c>
      <c r="M238" s="6">
        <f t="shared" si="2"/>
        <v>151343.230399865</v>
      </c>
      <c r="N238" s="6">
        <f t="shared" si="2"/>
        <v>155883.52731186093</v>
      </c>
      <c r="Q238" s="11">
        <v>3413</v>
      </c>
      <c r="R238" s="2"/>
      <c r="S238" s="2"/>
      <c r="AA238" s="1" t="s">
        <v>404</v>
      </c>
      <c r="AB238" s="1" t="s">
        <v>405</v>
      </c>
      <c r="AD238" s="1" t="s">
        <v>406</v>
      </c>
      <c r="AF238" s="1" t="s">
        <v>407</v>
      </c>
    </row>
    <row r="239" spans="8:32" ht="13.5">
      <c r="H239" s="2"/>
      <c r="J239" s="6">
        <f>J237+J238</f>
        <v>794499.4950611781</v>
      </c>
      <c r="K239" s="6">
        <f>K237+K238</f>
        <v>818334.4799130135</v>
      </c>
      <c r="L239" s="6">
        <f>L237+L238</f>
        <v>842884.5143104038</v>
      </c>
      <c r="M239" s="6">
        <f>M237+M238</f>
        <v>868171.0497397159</v>
      </c>
      <c r="N239" s="6">
        <f>N237+N238</f>
        <v>894216.1812319073</v>
      </c>
      <c r="Q239" s="11">
        <f>Q237*Q238</f>
        <v>3628019</v>
      </c>
      <c r="R239" s="2"/>
      <c r="S239" s="27"/>
      <c r="AA239" s="1" t="s">
        <v>408</v>
      </c>
      <c r="AB239" s="1" t="s">
        <v>409</v>
      </c>
      <c r="AD239" s="1" t="s">
        <v>410</v>
      </c>
      <c r="AF239" s="1" t="s">
        <v>411</v>
      </c>
    </row>
    <row r="240" spans="8:32" ht="13.5">
      <c r="H240" s="2"/>
      <c r="J240" s="6">
        <f>J236-J239</f>
        <v>1073440.0914136562</v>
      </c>
      <c r="K240" s="6">
        <f>K236-K239</f>
        <v>1105073.3541560657</v>
      </c>
      <c r="L240" s="6">
        <f>L236-L239</f>
        <v>1137655.6147807478</v>
      </c>
      <c r="M240" s="6">
        <f>M236-M239</f>
        <v>1171215.3432241704</v>
      </c>
      <c r="N240" s="6">
        <f>N236-N239</f>
        <v>1205781.8635208954</v>
      </c>
      <c r="Q240" s="11">
        <f>N31</f>
        <v>7800</v>
      </c>
      <c r="R240" s="2"/>
      <c r="S240" s="2"/>
      <c r="U240" s="6"/>
      <c r="V240" s="6"/>
      <c r="W240" s="6"/>
      <c r="X240" s="6"/>
      <c r="Y240" s="6"/>
      <c r="AA240" s="1" t="s">
        <v>412</v>
      </c>
      <c r="AB240" s="1" t="s">
        <v>413</v>
      </c>
      <c r="AD240" s="1" t="s">
        <v>414</v>
      </c>
      <c r="AF240" s="1" t="s">
        <v>415</v>
      </c>
    </row>
    <row r="241" spans="8:32" ht="13.5">
      <c r="H241" s="2"/>
      <c r="J241" s="6">
        <f>Y40+J240</f>
        <v>6183752.328322714</v>
      </c>
      <c r="K241" s="6">
        <f>J241+K240</f>
        <v>7288825.68247878</v>
      </c>
      <c r="L241" s="6">
        <f>K241+L240</f>
        <v>8426481.297259528</v>
      </c>
      <c r="M241" s="6">
        <f>L241+M240</f>
        <v>9597696.640483698</v>
      </c>
      <c r="N241" s="6">
        <f>M241+N240</f>
        <v>10803478.504004594</v>
      </c>
      <c r="Q241" s="11">
        <f>N29*(Q234*100)</f>
        <v>4222800</v>
      </c>
      <c r="AA241" s="1" t="s">
        <v>388</v>
      </c>
      <c r="AB241" s="1" t="s">
        <v>416</v>
      </c>
      <c r="AD241" s="1" t="s">
        <v>417</v>
      </c>
      <c r="AF241" s="1" t="s">
        <v>418</v>
      </c>
    </row>
    <row r="242" spans="8:32" ht="13.5">
      <c r="H242" s="2"/>
      <c r="Q242" s="11">
        <f>N30</f>
        <v>3402.660869565217</v>
      </c>
      <c r="AA242" s="1" t="s">
        <v>419</v>
      </c>
      <c r="AB242" s="1" t="s">
        <v>404</v>
      </c>
      <c r="AD242" s="1" t="s">
        <v>420</v>
      </c>
      <c r="AF242" s="1" t="s">
        <v>404</v>
      </c>
    </row>
    <row r="243" spans="8:32" ht="13.5">
      <c r="H243" s="2"/>
      <c r="Q243" s="11">
        <f>(Q241*Q242)/1000000</f>
        <v>14368.756319999999</v>
      </c>
      <c r="AA243" s="1" t="s">
        <v>421</v>
      </c>
      <c r="AB243" s="1" t="s">
        <v>408</v>
      </c>
      <c r="AD243" s="1" t="s">
        <v>404</v>
      </c>
      <c r="AF243" s="1" t="s">
        <v>408</v>
      </c>
    </row>
    <row r="244" spans="8:32" ht="13.5">
      <c r="H244" s="2"/>
      <c r="Q244" s="11">
        <f>AO34</f>
        <v>28298.5482</v>
      </c>
      <c r="AA244" s="1" t="s">
        <v>422</v>
      </c>
      <c r="AB244" s="1" t="s">
        <v>412</v>
      </c>
      <c r="AD244" s="1" t="s">
        <v>408</v>
      </c>
      <c r="AF244" s="1" t="s">
        <v>412</v>
      </c>
    </row>
    <row r="245" spans="8:32" ht="13.5">
      <c r="H245" s="2"/>
      <c r="Q245" s="11">
        <f>Q243</f>
        <v>14368.756319999999</v>
      </c>
      <c r="AA245" s="1" t="s">
        <v>404</v>
      </c>
      <c r="AB245" s="1" t="s">
        <v>389</v>
      </c>
      <c r="AD245" s="1" t="s">
        <v>412</v>
      </c>
      <c r="AF245" s="1" t="s">
        <v>389</v>
      </c>
    </row>
    <row r="246" spans="8:32" ht="13.5">
      <c r="H246" s="2"/>
      <c r="Q246" s="22">
        <v>0.5</v>
      </c>
      <c r="AA246" s="1" t="s">
        <v>408</v>
      </c>
      <c r="AB246" s="1" t="s">
        <v>423</v>
      </c>
      <c r="AD246" s="1" t="s">
        <v>389</v>
      </c>
      <c r="AF246" s="1" t="s">
        <v>423</v>
      </c>
    </row>
    <row r="247" spans="8:30" ht="13.5">
      <c r="H247" s="2"/>
      <c r="AA247" s="1" t="s">
        <v>412</v>
      </c>
      <c r="AD247" s="1" t="s">
        <v>423</v>
      </c>
    </row>
    <row r="248" ht="13.5">
      <c r="AA248" s="8" t="s">
        <v>389</v>
      </c>
    </row>
    <row r="249" ht="13.5">
      <c r="AA249" s="8" t="s">
        <v>423</v>
      </c>
    </row>
    <row r="252" spans="1:6" ht="13.5">
      <c r="A252" s="1" t="s">
        <v>424</v>
      </c>
      <c r="B252" s="1" t="s">
        <v>425</v>
      </c>
      <c r="C252" s="1" t="s">
        <v>426</v>
      </c>
      <c r="D252" s="1" t="s">
        <v>427</v>
      </c>
      <c r="F252" s="1" t="s">
        <v>428</v>
      </c>
    </row>
    <row r="253" spans="1:6" ht="13.5">
      <c r="A253" s="5">
        <f aca="true" t="shared" si="3" ref="A253:A264">C17</f>
        <v>32300</v>
      </c>
      <c r="B253" s="5">
        <f aca="true" t="shared" si="4" ref="B253:B264">C33+C49</f>
        <v>113475</v>
      </c>
      <c r="C253" s="5">
        <f aca="true" t="shared" si="5" ref="C253:C264">$R$48/12</f>
        <v>13791.266666666665</v>
      </c>
      <c r="D253" s="5">
        <f aca="true" t="shared" si="6" ref="D253:D264">($R$46+$R$47)/12</f>
        <v>119118.17119219872</v>
      </c>
      <c r="F253" s="5">
        <f aca="true" t="shared" si="7" ref="F253:F264">$W$52</f>
        <v>80142.47952553205</v>
      </c>
    </row>
    <row r="254" spans="1:6" ht="13.5">
      <c r="A254" s="5">
        <f t="shared" si="3"/>
        <v>34200</v>
      </c>
      <c r="B254" s="5">
        <f t="shared" si="4"/>
        <v>109965</v>
      </c>
      <c r="C254" s="5">
        <f t="shared" si="5"/>
        <v>13791.266666666665</v>
      </c>
      <c r="D254" s="5">
        <f t="shared" si="6"/>
        <v>119118.17119219872</v>
      </c>
      <c r="F254" s="5">
        <f t="shared" si="7"/>
        <v>80142.47952553205</v>
      </c>
    </row>
    <row r="255" spans="1:6" ht="13.5">
      <c r="A255" s="5">
        <f t="shared" si="3"/>
        <v>33725</v>
      </c>
      <c r="B255" s="5">
        <f t="shared" si="4"/>
        <v>115100</v>
      </c>
      <c r="C255" s="5">
        <f t="shared" si="5"/>
        <v>13791.266666666665</v>
      </c>
      <c r="D255" s="5">
        <f t="shared" si="6"/>
        <v>119118.17119219872</v>
      </c>
      <c r="F255" s="5">
        <f t="shared" si="7"/>
        <v>80142.47952553205</v>
      </c>
    </row>
    <row r="256" spans="1:6" ht="13.5">
      <c r="A256" s="5">
        <f t="shared" si="3"/>
        <v>22500</v>
      </c>
      <c r="B256" s="5">
        <f t="shared" si="4"/>
        <v>116725</v>
      </c>
      <c r="C256" s="5">
        <f t="shared" si="5"/>
        <v>13791.266666666665</v>
      </c>
      <c r="D256" s="5">
        <f t="shared" si="6"/>
        <v>119118.17119219872</v>
      </c>
      <c r="F256" s="5">
        <f t="shared" si="7"/>
        <v>80142.47952553205</v>
      </c>
    </row>
    <row r="257" spans="1:6" ht="13.5">
      <c r="A257" s="5">
        <f t="shared" si="3"/>
        <v>16470</v>
      </c>
      <c r="B257" s="5">
        <f t="shared" si="4"/>
        <v>164250</v>
      </c>
      <c r="C257" s="5">
        <f t="shared" si="5"/>
        <v>13791.266666666665</v>
      </c>
      <c r="D257" s="5">
        <f t="shared" si="6"/>
        <v>119118.17119219872</v>
      </c>
      <c r="F257" s="5">
        <f t="shared" si="7"/>
        <v>80142.47952553205</v>
      </c>
    </row>
    <row r="258" spans="1:6" ht="13.5">
      <c r="A258" s="5">
        <f t="shared" si="3"/>
        <v>10944</v>
      </c>
      <c r="B258" s="5">
        <f t="shared" si="4"/>
        <v>168125</v>
      </c>
      <c r="C258" s="5">
        <f t="shared" si="5"/>
        <v>13791.266666666665</v>
      </c>
      <c r="D258" s="5">
        <f t="shared" si="6"/>
        <v>119118.17119219872</v>
      </c>
      <c r="F258" s="5">
        <f t="shared" si="7"/>
        <v>80142.47952553205</v>
      </c>
    </row>
    <row r="259" spans="1:6" ht="13.5">
      <c r="A259" s="5">
        <f t="shared" si="3"/>
        <v>6090</v>
      </c>
      <c r="B259" s="5">
        <f t="shared" si="4"/>
        <v>165600</v>
      </c>
      <c r="C259" s="5">
        <f t="shared" si="5"/>
        <v>13791.266666666665</v>
      </c>
      <c r="D259" s="5">
        <f t="shared" si="6"/>
        <v>119118.17119219872</v>
      </c>
      <c r="F259" s="5">
        <f t="shared" si="7"/>
        <v>80142.47952553205</v>
      </c>
    </row>
    <row r="260" spans="1:6" ht="13.5">
      <c r="A260" s="5">
        <f t="shared" si="3"/>
        <v>3920</v>
      </c>
      <c r="B260" s="5">
        <f t="shared" si="4"/>
        <v>183705</v>
      </c>
      <c r="C260" s="5">
        <f t="shared" si="5"/>
        <v>13791.266666666665</v>
      </c>
      <c r="D260" s="5">
        <f t="shared" si="6"/>
        <v>119118.17119219872</v>
      </c>
      <c r="F260" s="5">
        <f t="shared" si="7"/>
        <v>80142.47952553205</v>
      </c>
    </row>
    <row r="261" spans="1:6" ht="13.5">
      <c r="A261" s="5">
        <f t="shared" si="3"/>
        <v>3150</v>
      </c>
      <c r="B261" s="5">
        <f t="shared" si="4"/>
        <v>180675</v>
      </c>
      <c r="C261" s="5">
        <f t="shared" si="5"/>
        <v>13791.266666666665</v>
      </c>
      <c r="D261" s="5">
        <f t="shared" si="6"/>
        <v>119118.17119219872</v>
      </c>
      <c r="F261" s="5">
        <f t="shared" si="7"/>
        <v>80142.47952553205</v>
      </c>
    </row>
    <row r="262" spans="1:6" ht="13.5">
      <c r="A262" s="5">
        <f t="shared" si="3"/>
        <v>3500</v>
      </c>
      <c r="B262" s="5">
        <f t="shared" si="4"/>
        <v>171662</v>
      </c>
      <c r="C262" s="5">
        <f t="shared" si="5"/>
        <v>13791.266666666665</v>
      </c>
      <c r="D262" s="5">
        <f t="shared" si="6"/>
        <v>119118.17119219872</v>
      </c>
      <c r="F262" s="5">
        <f t="shared" si="7"/>
        <v>80142.47952553205</v>
      </c>
    </row>
    <row r="263" spans="1:6" ht="13.5">
      <c r="A263" s="5">
        <f t="shared" si="3"/>
        <v>8720</v>
      </c>
      <c r="B263" s="5">
        <f t="shared" si="4"/>
        <v>123575</v>
      </c>
      <c r="C263" s="5">
        <f t="shared" si="5"/>
        <v>13791.266666666665</v>
      </c>
      <c r="D263" s="5">
        <f t="shared" si="6"/>
        <v>119118.17119219872</v>
      </c>
      <c r="F263" s="5">
        <f t="shared" si="7"/>
        <v>80142.47952553205</v>
      </c>
    </row>
    <row r="264" spans="1:6" ht="13.5">
      <c r="A264" s="5">
        <f t="shared" si="3"/>
        <v>31350</v>
      </c>
      <c r="B264" s="5">
        <f t="shared" si="4"/>
        <v>111850</v>
      </c>
      <c r="C264" s="5">
        <f t="shared" si="5"/>
        <v>13791.266666666665</v>
      </c>
      <c r="D264" s="5">
        <f t="shared" si="6"/>
        <v>119118.17119219872</v>
      </c>
      <c r="F264" s="5">
        <f t="shared" si="7"/>
        <v>80142.47952553205</v>
      </c>
    </row>
    <row r="265" spans="2:4" ht="13.5">
      <c r="B265" s="2"/>
      <c r="C265" s="2"/>
      <c r="D265" s="2"/>
    </row>
    <row r="266" spans="2:5" ht="13.5">
      <c r="B266" s="2"/>
      <c r="C266" s="2"/>
      <c r="D266" s="2"/>
      <c r="E266" s="2"/>
    </row>
    <row r="267" spans="2:5" ht="13.5">
      <c r="B267" s="2"/>
      <c r="C267" s="2"/>
      <c r="D267" s="2"/>
      <c r="E267" s="2"/>
    </row>
    <row r="280" spans="1:7" ht="13.5">
      <c r="A280" s="2" t="str">
        <f>B1</f>
        <v>ABC Company</v>
      </c>
      <c r="B280" s="2">
        <f>R21</f>
        <v>11.17879209574172</v>
      </c>
      <c r="C280" s="2">
        <f>R38</f>
        <v>11.17879209574172</v>
      </c>
      <c r="D280" s="2">
        <f>W24-W21</f>
        <v>1692043.4714936432</v>
      </c>
      <c r="E280" s="2">
        <f>$R$28/12</f>
        <v>690950</v>
      </c>
      <c r="F280" s="2">
        <f>B61/12</f>
        <v>1497.0833333333333</v>
      </c>
      <c r="G280" s="2">
        <f aca="true" t="shared" si="8" ref="G280:G291">A253+B253</f>
        <v>145775</v>
      </c>
    </row>
    <row r="281" spans="1:7" ht="13.5">
      <c r="A281" s="2" t="str">
        <f>N11</f>
        <v>One (1) Model 1063 Jenbacher Engine Generator</v>
      </c>
      <c r="B281" s="2">
        <f>R22</f>
        <v>17965</v>
      </c>
      <c r="C281" s="2">
        <f>R39</f>
        <v>142596.67197328137</v>
      </c>
      <c r="D281" s="2">
        <f>X24-X21</f>
        <v>1742804.7756384525</v>
      </c>
      <c r="E281" s="2">
        <f>N37</f>
        <v>7800</v>
      </c>
      <c r="F281" s="2">
        <f>(R37/12)*0.7</f>
        <v>744.0999999999999</v>
      </c>
      <c r="G281" s="2">
        <f t="shared" si="8"/>
        <v>144165</v>
      </c>
    </row>
    <row r="282" spans="1:7" ht="13.5">
      <c r="A282" s="2">
        <f>N39</f>
        <v>754494</v>
      </c>
      <c r="B282" s="2">
        <f>R20</f>
        <v>200827</v>
      </c>
      <c r="C282" s="2">
        <f>R40</f>
        <v>3.3</v>
      </c>
      <c r="D282" s="2">
        <f>Y24-Y21</f>
        <v>1795088.918907606</v>
      </c>
      <c r="E282" s="2">
        <f>R46+R47</f>
        <v>1429418.0543063846</v>
      </c>
      <c r="F282" s="2">
        <f>(R22/12)-((R37/12)*0.7)</f>
        <v>752.9833333333333</v>
      </c>
      <c r="G282" s="2">
        <f t="shared" si="8"/>
        <v>148825</v>
      </c>
    </row>
    <row r="283" spans="1:7" ht="13.5">
      <c r="A283" s="2">
        <f>R49</f>
        <v>-565870.5</v>
      </c>
      <c r="B283" s="2">
        <f>N17+R17+R20</f>
        <v>1931576</v>
      </c>
      <c r="C283" s="2">
        <f>R41</f>
        <v>42094.799999999996</v>
      </c>
      <c r="D283" s="2">
        <f>J236+J235</f>
        <v>1886937.5864748342</v>
      </c>
      <c r="E283" s="2">
        <f>R48</f>
        <v>165495.19999999998</v>
      </c>
      <c r="F283" s="2">
        <f>R19</f>
        <v>10895500</v>
      </c>
      <c r="G283" s="2">
        <f t="shared" si="8"/>
        <v>139225</v>
      </c>
    </row>
    <row r="284" spans="1:7" ht="13.5">
      <c r="A284" s="2">
        <f>R46+R47+R48</f>
        <v>1594913.2543063846</v>
      </c>
      <c r="B284" s="2">
        <f>C70/100</f>
        <v>0.8</v>
      </c>
      <c r="C284" s="2" t="str">
        <f>C66</f>
        <v>Yes</v>
      </c>
      <c r="D284" s="2">
        <f>K236-K235</f>
        <v>1904409.8340690793</v>
      </c>
      <c r="E284" s="2">
        <f>R46+R47+R48</f>
        <v>1594913.2543063846</v>
      </c>
      <c r="F284" s="2">
        <f>R19-R28</f>
        <v>2604100</v>
      </c>
      <c r="G284" s="2">
        <f t="shared" si="8"/>
        <v>180720</v>
      </c>
    </row>
    <row r="285" spans="1:7" ht="13.5">
      <c r="A285" s="2">
        <f>C84</f>
        <v>96.73</v>
      </c>
      <c r="B285" s="2">
        <f>N27</f>
        <v>156522.4</v>
      </c>
      <c r="C285" s="2" t="str">
        <f>C67</f>
        <v>Yes</v>
      </c>
      <c r="D285" s="2">
        <f>L236-L235</f>
        <v>1961542.1290911518</v>
      </c>
      <c r="E285" s="2">
        <f>R49</f>
        <v>-565870.5</v>
      </c>
      <c r="F285" s="2">
        <f>R28</f>
        <v>8291400</v>
      </c>
      <c r="G285" s="2">
        <f t="shared" si="8"/>
        <v>179069</v>
      </c>
    </row>
    <row r="286" spans="1:7" ht="13.5">
      <c r="A286" s="8" t="s">
        <v>10</v>
      </c>
      <c r="B286" s="32">
        <f>C90</f>
        <v>2.292323654633458</v>
      </c>
      <c r="C286" s="2">
        <f>R47</f>
        <v>103598.39738380183</v>
      </c>
      <c r="D286" s="2">
        <f>M236-M235</f>
        <v>2020388.3929638863</v>
      </c>
      <c r="E286" s="2">
        <f>R50</f>
        <v>-124373</v>
      </c>
      <c r="F286" s="2">
        <f>B29</f>
        <v>230180</v>
      </c>
      <c r="G286" s="2">
        <f t="shared" si="8"/>
        <v>171690</v>
      </c>
    </row>
    <row r="287" spans="1:7" ht="13.5">
      <c r="A287" s="2">
        <f>C84*C96</f>
        <v>72.5475</v>
      </c>
      <c r="B287" s="2">
        <f>N29</f>
        <v>46</v>
      </c>
      <c r="C287" s="2">
        <f>R46+R47+R48</f>
        <v>1594913.2543063846</v>
      </c>
      <c r="D287" s="2">
        <f>N236-N235</f>
        <v>2081000.0447528027</v>
      </c>
      <c r="E287" s="2">
        <f>R49+R50</f>
        <v>-690243.5</v>
      </c>
      <c r="F287" s="2">
        <f>(N19-N27)+(N39-N32)</f>
        <v>671629.2</v>
      </c>
      <c r="G287" s="2">
        <f t="shared" si="8"/>
        <v>187625</v>
      </c>
    </row>
    <row r="288" spans="1:7" ht="13.5">
      <c r="A288" s="2">
        <f>C83</f>
        <v>1063</v>
      </c>
      <c r="B288" s="2">
        <f>C85</f>
        <v>46</v>
      </c>
      <c r="C288" s="2">
        <f>C144/12</f>
        <v>5</v>
      </c>
      <c r="D288" s="2">
        <f>U21</f>
        <v>57000</v>
      </c>
      <c r="E288" s="2">
        <f>R53</f>
        <v>1748669.7543063846</v>
      </c>
      <c r="F288" s="2">
        <f>B29-((N19-N27)+(N39-N32))</f>
        <v>-441449.19999999995</v>
      </c>
      <c r="G288" s="2">
        <f t="shared" si="8"/>
        <v>183825</v>
      </c>
    </row>
    <row r="289" spans="1:7" ht="13.5">
      <c r="A289" s="2">
        <f>C83*C64</f>
        <v>148.67463081088525</v>
      </c>
      <c r="B289" s="2">
        <f>C87</f>
        <v>3402.660869565217</v>
      </c>
      <c r="C289" s="2" t="str">
        <f>B1</f>
        <v>ABC Company</v>
      </c>
      <c r="D289" s="2">
        <f>V21</f>
        <v>57000</v>
      </c>
      <c r="E289" s="2">
        <f>R50</f>
        <v>-124373</v>
      </c>
      <c r="F289" s="2">
        <f>R17+R20</f>
        <v>1724707</v>
      </c>
      <c r="G289" s="2">
        <f t="shared" si="8"/>
        <v>175162</v>
      </c>
    </row>
    <row r="290" spans="1:7" ht="13.5">
      <c r="A290" s="2">
        <f>R48/C88</f>
        <v>21.217333333333332</v>
      </c>
      <c r="B290" s="2">
        <f>C88</f>
        <v>7800</v>
      </c>
      <c r="C290" s="34">
        <f>B11</f>
        <v>40990</v>
      </c>
      <c r="D290" s="2">
        <f>W21</f>
        <v>57000</v>
      </c>
      <c r="E290" s="2">
        <f>C100+C139</f>
        <v>1185500</v>
      </c>
      <c r="F290" s="2">
        <f>(R17+R20)-(R32+R42)</f>
        <v>464543.0077018137</v>
      </c>
      <c r="G290" s="2">
        <f t="shared" si="8"/>
        <v>132295</v>
      </c>
    </row>
    <row r="291" spans="1:7" ht="13.5">
      <c r="A291" s="2">
        <f>A289+A290</f>
        <v>169.89196414421858</v>
      </c>
      <c r="B291" s="2">
        <f>R48</f>
        <v>165495.19999999998</v>
      </c>
      <c r="C291" s="2" t="str">
        <f>N11</f>
        <v>One (1) Model 1063 Jenbacher Engine Generator</v>
      </c>
      <c r="D291" s="2">
        <f>X21</f>
        <v>57000</v>
      </c>
      <c r="E291" s="2">
        <f>(C137+C122)-(C126+C128+C139+C100)</f>
        <v>688200</v>
      </c>
      <c r="F291" s="2">
        <f>(R32+R42)</f>
        <v>1260163.9922981863</v>
      </c>
      <c r="G291" s="2">
        <f t="shared" si="8"/>
        <v>143200</v>
      </c>
    </row>
    <row r="292" spans="1:7" ht="13.5">
      <c r="A292" s="2">
        <f>N18</f>
        <v>0.8987270831523155</v>
      </c>
      <c r="B292" s="2">
        <f>R26</f>
        <v>7800</v>
      </c>
      <c r="C292" s="2">
        <f>W46</f>
        <v>949900</v>
      </c>
      <c r="D292" s="2">
        <f>Y21</f>
        <v>57000</v>
      </c>
      <c r="E292" s="2">
        <f>C128</f>
        <v>8000</v>
      </c>
      <c r="F292" s="2">
        <f>N17</f>
        <v>206869</v>
      </c>
      <c r="G292" s="2">
        <f aca="true" t="shared" si="9" ref="G292:G303">C253+D253</f>
        <v>132909.4378588654</v>
      </c>
    </row>
    <row r="293" spans="1:7" ht="13.5">
      <c r="A293" s="2">
        <f>N19</f>
        <v>230180</v>
      </c>
      <c r="B293" s="2">
        <f>R27</f>
        <v>1063</v>
      </c>
      <c r="C293" s="2">
        <f>C144</f>
        <v>60</v>
      </c>
      <c r="D293" s="2">
        <f>W46*0.1</f>
        <v>94990</v>
      </c>
      <c r="E293" s="2" t="e">
        <f>C126+C132</f>
        <v>#VALUE!</v>
      </c>
      <c r="F293" s="2">
        <f>N17-(N41+C139)</f>
        <v>-732001.5</v>
      </c>
      <c r="G293" s="2">
        <f t="shared" si="9"/>
        <v>132909.4378588654</v>
      </c>
    </row>
    <row r="294" spans="1:7" ht="13.5">
      <c r="A294" s="32">
        <f>N26</f>
        <v>0.85</v>
      </c>
      <c r="B294" s="2">
        <f>R28</f>
        <v>8291400</v>
      </c>
      <c r="C294" s="32">
        <f>C143</f>
        <v>0.08</v>
      </c>
      <c r="D294" s="2">
        <f>C145</f>
        <v>19260.546934564154</v>
      </c>
      <c r="E294" s="2">
        <f>C141</f>
        <v>949900</v>
      </c>
      <c r="F294" s="2">
        <f>R49+R50</f>
        <v>-690243.5</v>
      </c>
      <c r="G294" s="2">
        <f t="shared" si="9"/>
        <v>132909.4378588654</v>
      </c>
    </row>
    <row r="295" spans="1:7" ht="13.5">
      <c r="A295" s="2">
        <f>N27</f>
        <v>156522.4</v>
      </c>
      <c r="B295" s="2">
        <f>R18</f>
        <v>0.13986324629434171</v>
      </c>
      <c r="C295" s="2">
        <f>C145</f>
        <v>19260.546934564154</v>
      </c>
      <c r="D295" s="2">
        <f aca="true" t="shared" si="10" ref="D295:D306">B33+D33+F33</f>
        <v>850000</v>
      </c>
      <c r="E295" s="2" t="str">
        <f>B3</f>
        <v>Any Street</v>
      </c>
      <c r="F295" s="2">
        <f>R17+R20+N17</f>
        <v>1931576</v>
      </c>
      <c r="G295" s="2">
        <f t="shared" si="9"/>
        <v>132909.4378588654</v>
      </c>
    </row>
    <row r="296" spans="1:7" ht="13.5">
      <c r="A296" s="2">
        <f>N17</f>
        <v>206869</v>
      </c>
      <c r="B296" s="2">
        <f>R30</f>
        <v>0</v>
      </c>
      <c r="C296" s="2">
        <f>C145*12</f>
        <v>231126.56321476985</v>
      </c>
      <c r="D296" s="2">
        <f t="shared" si="10"/>
        <v>825000</v>
      </c>
      <c r="E296" s="2" t="str">
        <f>B4</f>
        <v>Any Town USA</v>
      </c>
      <c r="F296" s="2">
        <f>(R17+R20+N17)-R53</f>
        <v>182906.2456936154</v>
      </c>
      <c r="G296" s="2">
        <f t="shared" si="9"/>
        <v>132909.4378588654</v>
      </c>
    </row>
    <row r="297" spans="1:7" ht="13.5">
      <c r="A297" s="2">
        <f>R18</f>
        <v>0.13986324629434171</v>
      </c>
      <c r="B297" s="2">
        <f>R31</f>
        <v>0.02</v>
      </c>
      <c r="C297" s="2">
        <f>U21</f>
        <v>57000</v>
      </c>
      <c r="D297" s="2">
        <f t="shared" si="10"/>
        <v>860000</v>
      </c>
      <c r="E297" s="2">
        <f>R46</f>
        <v>1325819.6569225828</v>
      </c>
      <c r="F297" s="2">
        <f>(R32+R42)+(R49+R50)</f>
        <v>569920.4922981863</v>
      </c>
      <c r="G297" s="2">
        <f t="shared" si="9"/>
        <v>132909.4378588654</v>
      </c>
    </row>
    <row r="298" spans="1:7" ht="13.5">
      <c r="A298" s="2">
        <f>R19</f>
        <v>10895500</v>
      </c>
      <c r="B298" s="2">
        <f>R46</f>
        <v>1325819.6569225828</v>
      </c>
      <c r="C298" s="2">
        <f>U24-U21</f>
        <v>1594913.2543063846</v>
      </c>
      <c r="D298" s="2">
        <f t="shared" si="10"/>
        <v>870000</v>
      </c>
      <c r="E298" s="2">
        <f>R47</f>
        <v>103598.39738380183</v>
      </c>
      <c r="F298" s="2">
        <f>W46</f>
        <v>949900</v>
      </c>
      <c r="G298" s="2">
        <f t="shared" si="9"/>
        <v>132909.4378588654</v>
      </c>
    </row>
    <row r="299" spans="1:7" ht="13.5">
      <c r="A299" s="2">
        <f>R17</f>
        <v>1523880</v>
      </c>
      <c r="B299" s="2">
        <f>R37</f>
        <v>12756</v>
      </c>
      <c r="C299" s="2">
        <f>V24-V21</f>
        <v>1642760.651935576</v>
      </c>
      <c r="D299" s="2">
        <f t="shared" si="10"/>
        <v>900000</v>
      </c>
      <c r="E299" s="2">
        <f>R48</f>
        <v>165495.19999999998</v>
      </c>
      <c r="F299" s="2">
        <f>R53+U21</f>
        <v>1805669.7543063846</v>
      </c>
      <c r="G299" s="2">
        <f t="shared" si="9"/>
        <v>132909.4378588654</v>
      </c>
    </row>
    <row r="300" spans="1:7" ht="13.5">
      <c r="A300" s="34">
        <f>B11</f>
        <v>40990</v>
      </c>
      <c r="B300" s="2">
        <f>W44</f>
        <v>373000</v>
      </c>
      <c r="C300" s="2">
        <f>$B$304</f>
        <v>134466.5</v>
      </c>
      <c r="D300" s="2">
        <f t="shared" si="10"/>
        <v>920000</v>
      </c>
      <c r="E300" s="2">
        <f>R49</f>
        <v>-565870.5</v>
      </c>
      <c r="F300" s="2">
        <f>(U40+R50)/12</f>
        <v>69778.06285886538</v>
      </c>
      <c r="G300" s="2">
        <f t="shared" si="9"/>
        <v>132909.4378588654</v>
      </c>
    </row>
    <row r="301" spans="1:7" ht="13.5">
      <c r="A301" s="2"/>
      <c r="B301" s="2">
        <f>V30</f>
        <v>124333</v>
      </c>
      <c r="C301" s="2">
        <f>$B$304</f>
        <v>134466.5</v>
      </c>
      <c r="D301" s="2">
        <f t="shared" si="10"/>
        <v>980000</v>
      </c>
      <c r="E301" s="2">
        <f>R50</f>
        <v>-124373</v>
      </c>
      <c r="F301" s="32">
        <f>W54</f>
        <v>1.0759684676090238</v>
      </c>
      <c r="G301" s="2">
        <f t="shared" si="9"/>
        <v>132909.4378588654</v>
      </c>
    </row>
    <row r="302" spans="1:7" ht="13.5">
      <c r="A302" s="2"/>
      <c r="B302" s="2">
        <f>W30</f>
        <v>124333</v>
      </c>
      <c r="C302" s="2">
        <f>$B$304</f>
        <v>134466.5</v>
      </c>
      <c r="D302" s="2">
        <f t="shared" si="10"/>
        <v>1000500</v>
      </c>
      <c r="E302" s="2">
        <f>R53</f>
        <v>1748669.7543063846</v>
      </c>
      <c r="F302" s="2">
        <f>W56</f>
        <v>0.9293952658502735</v>
      </c>
      <c r="G302" s="2">
        <f t="shared" si="9"/>
        <v>132909.4378588654</v>
      </c>
    </row>
    <row r="303" spans="1:7" ht="13.5">
      <c r="A303" s="2"/>
      <c r="B303" s="2">
        <f>X30</f>
        <v>130550</v>
      </c>
      <c r="C303" s="2">
        <f>$B$304</f>
        <v>134466.5</v>
      </c>
      <c r="D303" s="2">
        <f t="shared" si="10"/>
        <v>990000</v>
      </c>
      <c r="E303" s="2">
        <f>U21</f>
        <v>57000</v>
      </c>
      <c r="F303" s="2">
        <f>AE18</f>
        <v>19260.546934564154</v>
      </c>
      <c r="G303" s="2">
        <f t="shared" si="9"/>
        <v>132909.4378588654</v>
      </c>
    </row>
    <row r="304" spans="1:7" ht="13.5">
      <c r="A304" s="2"/>
      <c r="B304" s="2">
        <f>Y30</f>
        <v>134466.5</v>
      </c>
      <c r="C304" s="2">
        <f>$B$304</f>
        <v>134466.5</v>
      </c>
      <c r="D304" s="2">
        <f t="shared" si="10"/>
        <v>940000</v>
      </c>
      <c r="E304" s="2">
        <f>R53+U21</f>
        <v>1805669.7543063846</v>
      </c>
      <c r="F304" s="32">
        <f>W50</f>
        <v>0.03</v>
      </c>
      <c r="G304" s="2"/>
    </row>
    <row r="305" spans="1:7" ht="13.5">
      <c r="A305" s="2"/>
      <c r="B305" s="2"/>
      <c r="C305" s="2"/>
      <c r="D305" s="2">
        <f t="shared" si="10"/>
        <v>920000</v>
      </c>
      <c r="E305" s="2"/>
      <c r="F305" s="2"/>
      <c r="G305" s="2"/>
    </row>
    <row r="306" spans="1:7" ht="13.5">
      <c r="A306" s="2"/>
      <c r="B306" s="2"/>
      <c r="C306" s="2"/>
      <c r="D306" s="2">
        <f t="shared" si="10"/>
        <v>840000</v>
      </c>
      <c r="E306" s="2"/>
      <c r="F306" s="2"/>
      <c r="G306" s="2"/>
    </row>
    <row r="307" spans="1:7" ht="13.5">
      <c r="A307" s="2"/>
      <c r="B307" s="2"/>
      <c r="C307" s="2"/>
      <c r="D307" s="2"/>
      <c r="E307" s="2"/>
      <c r="F307" s="2"/>
      <c r="G307" s="2"/>
    </row>
    <row r="308" spans="1:7" ht="13.5">
      <c r="A308" s="2"/>
      <c r="B308" s="2"/>
      <c r="C308" s="2"/>
      <c r="D308" s="2"/>
      <c r="E308" s="2"/>
      <c r="F308" s="2"/>
      <c r="G308" s="2"/>
    </row>
    <row r="309" spans="1:7" ht="13.5">
      <c r="A309" s="2"/>
      <c r="B309" s="2"/>
      <c r="C309" s="2"/>
      <c r="D309" s="2"/>
      <c r="E309" s="2"/>
      <c r="F309" s="2"/>
      <c r="G309" s="2"/>
    </row>
    <row r="310" spans="1:7" ht="13.5">
      <c r="A310" s="2"/>
      <c r="B310" s="2"/>
      <c r="C310" s="2"/>
      <c r="D310" s="2"/>
      <c r="E310" s="2"/>
      <c r="F310" s="2"/>
      <c r="G310" s="2"/>
    </row>
    <row r="311" spans="1:7" ht="13.5">
      <c r="A311" s="2"/>
      <c r="B311" s="2"/>
      <c r="C311" s="2"/>
      <c r="D311" s="2"/>
      <c r="E311" s="2"/>
      <c r="F311" s="2"/>
      <c r="G311" s="2"/>
    </row>
    <row r="312" spans="1:7" ht="13.5">
      <c r="A312" s="8" t="s">
        <v>429</v>
      </c>
      <c r="B312" s="2">
        <v>6</v>
      </c>
      <c r="C312" s="2">
        <v>6</v>
      </c>
      <c r="D312" s="2">
        <v>271003.32</v>
      </c>
      <c r="E312" s="2">
        <v>156000</v>
      </c>
      <c r="F312" s="2">
        <v>666.6666666666666</v>
      </c>
      <c r="G312" s="2">
        <v>0</v>
      </c>
    </row>
    <row r="313" spans="1:7" ht="13.5">
      <c r="A313" s="8" t="s">
        <v>430</v>
      </c>
      <c r="B313" s="2">
        <v>8000</v>
      </c>
      <c r="C313" s="2">
        <v>12096</v>
      </c>
      <c r="D313" s="2">
        <v>284553.48600000003</v>
      </c>
      <c r="E313" s="2">
        <v>7800</v>
      </c>
      <c r="F313" s="2">
        <v>168</v>
      </c>
      <c r="G313" s="2">
        <v>0</v>
      </c>
    </row>
    <row r="314" spans="1:7" ht="13.5">
      <c r="A314" s="2">
        <v>171600</v>
      </c>
      <c r="B314" s="2">
        <v>48000</v>
      </c>
      <c r="C314" s="2">
        <v>0</v>
      </c>
      <c r="D314" s="2">
        <v>298781.16030000005</v>
      </c>
      <c r="E314" s="2">
        <v>245808</v>
      </c>
      <c r="F314" s="2">
        <v>498.6666666666667</v>
      </c>
      <c r="G314" s="2">
        <v>0</v>
      </c>
    </row>
    <row r="315" spans="1:7" ht="13.5">
      <c r="A315" s="2">
        <v>-49764</v>
      </c>
      <c r="B315" s="2">
        <v>354828</v>
      </c>
      <c r="C315" s="2">
        <v>0</v>
      </c>
      <c r="D315" s="2">
        <v>334902.783315</v>
      </c>
      <c r="E315" s="2">
        <v>0</v>
      </c>
      <c r="F315" s="2">
        <v>4091040</v>
      </c>
      <c r="G315" s="2">
        <v>0</v>
      </c>
    </row>
    <row r="316" spans="1:7" ht="13.5">
      <c r="A316" s="2">
        <v>245808</v>
      </c>
      <c r="B316" s="2">
        <v>0</v>
      </c>
      <c r="C316" s="8" t="s">
        <v>431</v>
      </c>
      <c r="D316" s="2">
        <v>329406.2292307501</v>
      </c>
      <c r="E316" s="2">
        <v>245808</v>
      </c>
      <c r="F316" s="2">
        <v>2219040</v>
      </c>
      <c r="G316" s="2">
        <v>0</v>
      </c>
    </row>
    <row r="317" spans="1:7" ht="13.5">
      <c r="A317" s="2">
        <v>22</v>
      </c>
      <c r="B317" s="2">
        <v>0</v>
      </c>
      <c r="C317" s="8" t="s">
        <v>431</v>
      </c>
      <c r="D317" s="2">
        <v>345876.5406922876</v>
      </c>
      <c r="E317" s="2">
        <v>-49764</v>
      </c>
      <c r="F317" s="2">
        <v>1872000</v>
      </c>
      <c r="G317" s="2">
        <v>0</v>
      </c>
    </row>
    <row r="318" spans="1:7" ht="13.5">
      <c r="A318" s="8" t="s">
        <v>10</v>
      </c>
      <c r="B318" s="2">
        <v>0</v>
      </c>
      <c r="C318" s="2">
        <v>21168</v>
      </c>
      <c r="D318" s="2">
        <v>363170.367726902</v>
      </c>
      <c r="E318" s="2">
        <v>-22000</v>
      </c>
      <c r="F318" s="2">
        <v>0</v>
      </c>
      <c r="G318" s="2">
        <v>0</v>
      </c>
    </row>
    <row r="319" spans="1:7" ht="13.5">
      <c r="A319" s="2">
        <v>6.38</v>
      </c>
      <c r="B319" s="2">
        <v>11.2</v>
      </c>
      <c r="C319" s="2">
        <v>245808</v>
      </c>
      <c r="D319" s="2">
        <v>381328.88611324714</v>
      </c>
      <c r="E319" s="2">
        <v>-71764</v>
      </c>
      <c r="F319" s="2">
        <v>84240</v>
      </c>
      <c r="G319" s="2">
        <v>0</v>
      </c>
    </row>
    <row r="320" spans="1:7" ht="13.5">
      <c r="A320" s="2">
        <v>240</v>
      </c>
      <c r="B320" s="2">
        <v>11.2</v>
      </c>
      <c r="C320" s="2">
        <v>5</v>
      </c>
      <c r="D320" s="2">
        <v>31773.7875</v>
      </c>
      <c r="E320" s="2">
        <v>174044</v>
      </c>
      <c r="F320" s="2">
        <v>-84240</v>
      </c>
      <c r="G320" s="2">
        <v>0</v>
      </c>
    </row>
    <row r="321" spans="1:7" ht="13.5">
      <c r="A321" s="2">
        <v>18</v>
      </c>
      <c r="B321" s="2">
        <v>0</v>
      </c>
      <c r="C321" s="8" t="s">
        <v>429</v>
      </c>
      <c r="D321" s="2">
        <v>31773.7875</v>
      </c>
      <c r="E321" s="2">
        <v>-22000</v>
      </c>
      <c r="F321" s="2">
        <v>354828</v>
      </c>
      <c r="G321" s="2">
        <v>0</v>
      </c>
    </row>
    <row r="322" spans="1:7" ht="13.5">
      <c r="A322" s="2">
        <v>0</v>
      </c>
      <c r="B322" s="2">
        <v>7800</v>
      </c>
      <c r="C322" s="8" t="s">
        <v>432</v>
      </c>
      <c r="D322" s="2">
        <v>31773.7875</v>
      </c>
      <c r="E322" s="2">
        <v>212000</v>
      </c>
      <c r="F322" s="2">
        <v>202332</v>
      </c>
      <c r="G322" s="2">
        <v>0</v>
      </c>
    </row>
    <row r="323" spans="1:7" ht="13.5">
      <c r="A323" s="2">
        <v>18</v>
      </c>
      <c r="B323" s="2">
        <v>0</v>
      </c>
      <c r="C323" s="8" t="s">
        <v>430</v>
      </c>
      <c r="D323" s="2">
        <v>31773.7875</v>
      </c>
      <c r="E323" s="2">
        <v>284064.125</v>
      </c>
      <c r="F323" s="2">
        <v>152496</v>
      </c>
      <c r="G323" s="2">
        <v>354828</v>
      </c>
    </row>
    <row r="324" spans="1:7" ht="13.5">
      <c r="A324" s="2">
        <v>0</v>
      </c>
      <c r="B324" s="2">
        <v>7800</v>
      </c>
      <c r="C324" s="2">
        <v>529564.125</v>
      </c>
      <c r="D324" s="2">
        <v>31773.7875</v>
      </c>
      <c r="E324" s="2">
        <v>6000</v>
      </c>
      <c r="F324" s="2">
        <v>0</v>
      </c>
      <c r="G324" s="2">
        <v>20484</v>
      </c>
    </row>
    <row r="325" spans="1:7" ht="13.5">
      <c r="A325" s="2">
        <v>0</v>
      </c>
      <c r="B325" s="2">
        <v>240</v>
      </c>
      <c r="C325" s="2">
        <v>60</v>
      </c>
      <c r="D325" s="2">
        <v>52956.412500000006</v>
      </c>
      <c r="E325" s="2">
        <v>53500</v>
      </c>
      <c r="F325" s="2">
        <v>-71764</v>
      </c>
      <c r="G325" s="2">
        <v>20484</v>
      </c>
    </row>
    <row r="326" spans="1:7" ht="13.5">
      <c r="A326" s="2">
        <v>0</v>
      </c>
      <c r="B326" s="2">
        <v>1872000</v>
      </c>
      <c r="C326" s="2">
        <v>0.1</v>
      </c>
      <c r="D326" s="2">
        <v>11251.672641358662</v>
      </c>
      <c r="E326" s="2">
        <v>529564.125</v>
      </c>
      <c r="F326" s="2">
        <v>-71764</v>
      </c>
      <c r="G326" s="2">
        <v>20484</v>
      </c>
    </row>
    <row r="327" spans="1:7" ht="13.5">
      <c r="A327" s="2">
        <v>0</v>
      </c>
      <c r="B327" s="2">
        <v>0.075</v>
      </c>
      <c r="C327" s="2">
        <v>11251.672641358662</v>
      </c>
      <c r="D327" s="2">
        <v>0</v>
      </c>
      <c r="E327" s="8" t="s">
        <v>433</v>
      </c>
      <c r="F327" s="2">
        <v>354828</v>
      </c>
      <c r="G327" s="2">
        <v>20484</v>
      </c>
    </row>
    <row r="328" spans="1:7" ht="13.5">
      <c r="A328" s="2">
        <v>0</v>
      </c>
      <c r="B328" s="2">
        <v>0</v>
      </c>
      <c r="C328" s="2">
        <v>135020.07169630396</v>
      </c>
      <c r="D328" s="2">
        <v>0</v>
      </c>
      <c r="E328" s="8" t="s">
        <v>434</v>
      </c>
      <c r="F328" s="2">
        <v>180784</v>
      </c>
      <c r="G328" s="2">
        <v>20484</v>
      </c>
    </row>
    <row r="329" spans="1:7" ht="13.5">
      <c r="A329" s="2">
        <v>0.075</v>
      </c>
      <c r="B329" s="2">
        <v>0</v>
      </c>
      <c r="C329" s="2">
        <v>31773.7875</v>
      </c>
      <c r="D329" s="2">
        <v>0</v>
      </c>
      <c r="E329" s="2">
        <v>224640</v>
      </c>
      <c r="F329" s="2">
        <v>80732</v>
      </c>
      <c r="G329" s="2">
        <v>20484</v>
      </c>
    </row>
    <row r="330" spans="1:7" ht="13.5">
      <c r="A330" s="2">
        <v>4091040</v>
      </c>
      <c r="B330" s="2">
        <v>224640</v>
      </c>
      <c r="C330" s="2">
        <v>245808</v>
      </c>
      <c r="D330" s="2">
        <v>0</v>
      </c>
      <c r="E330" s="2">
        <v>21168</v>
      </c>
      <c r="F330" s="2">
        <v>529564.125</v>
      </c>
      <c r="G330" s="2">
        <v>20484</v>
      </c>
    </row>
    <row r="331" spans="1:7" ht="13.5">
      <c r="A331" s="2">
        <v>306828</v>
      </c>
      <c r="B331" s="2">
        <v>2880</v>
      </c>
      <c r="C331" s="2">
        <v>258098.4</v>
      </c>
      <c r="D331" s="2">
        <v>0</v>
      </c>
      <c r="E331" s="2">
        <v>0</v>
      </c>
      <c r="F331" s="2">
        <v>205817.7875</v>
      </c>
      <c r="G331" s="2">
        <v>20484</v>
      </c>
    </row>
    <row r="332" spans="1:7" ht="13.5">
      <c r="A332" s="8" t="s">
        <v>432</v>
      </c>
      <c r="B332" s="2">
        <v>22000</v>
      </c>
      <c r="C332" s="2">
        <v>26741.1375</v>
      </c>
      <c r="D332" s="2">
        <v>0</v>
      </c>
      <c r="E332" s="2">
        <v>-49764</v>
      </c>
      <c r="F332" s="2">
        <v>17151.482291666664</v>
      </c>
      <c r="G332" s="2">
        <v>20484</v>
      </c>
    </row>
    <row r="333" spans="1:7" ht="13.5">
      <c r="A333" s="2"/>
      <c r="B333" s="2">
        <v>23100</v>
      </c>
      <c r="C333" s="2">
        <v>26741.1375</v>
      </c>
      <c r="D333" s="2">
        <v>0</v>
      </c>
      <c r="E333" s="2">
        <v>-22000</v>
      </c>
      <c r="F333" s="2">
        <v>0.43151408822302684</v>
      </c>
      <c r="G333" s="2">
        <v>20484</v>
      </c>
    </row>
    <row r="334" spans="1:7" ht="13.5">
      <c r="A334" s="2"/>
      <c r="B334" s="2">
        <v>24255</v>
      </c>
      <c r="C334" s="2">
        <v>26741.1375</v>
      </c>
      <c r="D334" s="2">
        <v>0</v>
      </c>
      <c r="E334" s="2">
        <v>174044</v>
      </c>
      <c r="F334" s="2">
        <v>2.3174214406718345</v>
      </c>
      <c r="G334" s="2">
        <v>20484</v>
      </c>
    </row>
    <row r="335" spans="1:7" ht="13.5">
      <c r="A335" s="2"/>
      <c r="B335" s="2">
        <v>25467.75</v>
      </c>
      <c r="C335" s="2">
        <v>26741.1375</v>
      </c>
      <c r="D335" s="2">
        <v>0</v>
      </c>
      <c r="E335" s="2">
        <v>31773.7875</v>
      </c>
      <c r="F335" s="2">
        <v>11251.672641358662</v>
      </c>
      <c r="G335" s="2">
        <v>20484</v>
      </c>
    </row>
    <row r="336" spans="1:7" ht="13.5">
      <c r="A336" s="2"/>
      <c r="B336" s="2">
        <v>26741.1375</v>
      </c>
      <c r="C336" s="2">
        <v>26741.1375</v>
      </c>
      <c r="D336" s="2">
        <v>0</v>
      </c>
      <c r="E336" s="2">
        <v>205817.7875</v>
      </c>
      <c r="F336" s="2">
        <v>0.05</v>
      </c>
      <c r="G336" s="2"/>
    </row>
    <row r="337" spans="1:7" ht="13.5">
      <c r="A337" s="2"/>
      <c r="B337" s="2"/>
      <c r="C337" s="2"/>
      <c r="D337" s="2">
        <v>0</v>
      </c>
      <c r="E337" s="2"/>
      <c r="F337" s="2"/>
      <c r="G337" s="2"/>
    </row>
    <row r="338" spans="1:7" ht="13.5">
      <c r="A338" s="2"/>
      <c r="B338" s="2"/>
      <c r="C338" s="2"/>
      <c r="D338" s="2">
        <v>4091040</v>
      </c>
      <c r="E338" s="2"/>
      <c r="F338" s="2"/>
      <c r="G338" s="2"/>
    </row>
    <row r="339" spans="1:5" ht="13.5">
      <c r="A339" s="1" t="s">
        <v>110</v>
      </c>
      <c r="B339" s="16">
        <v>0</v>
      </c>
      <c r="C339" s="16">
        <v>0</v>
      </c>
      <c r="D339" s="15"/>
      <c r="E339" s="19"/>
    </row>
    <row r="340" spans="1:5" ht="13.5">
      <c r="A340" s="1" t="s">
        <v>115</v>
      </c>
      <c r="B340" s="16">
        <v>0</v>
      </c>
      <c r="C340" s="16">
        <v>0</v>
      </c>
      <c r="D340" s="15"/>
      <c r="E340" s="19"/>
    </row>
    <row r="341" spans="1:5" ht="13.5">
      <c r="A341" s="1" t="s">
        <v>118</v>
      </c>
      <c r="B341" s="15">
        <v>0</v>
      </c>
      <c r="C341" s="6">
        <v>0</v>
      </c>
      <c r="D341" s="15"/>
      <c r="E341" s="19"/>
    </row>
    <row r="342" ht="13.5">
      <c r="E342" s="19"/>
    </row>
    <row r="343" spans="1:5" ht="13.5">
      <c r="A343" s="14" t="s">
        <v>53</v>
      </c>
      <c r="B343" s="14" t="s">
        <v>128</v>
      </c>
      <c r="C343" s="14" t="s">
        <v>55</v>
      </c>
      <c r="E343" s="19"/>
    </row>
    <row r="344" spans="1:5" ht="13.5">
      <c r="A344" s="1" t="s">
        <v>10</v>
      </c>
      <c r="B344" s="14" t="s">
        <v>435</v>
      </c>
      <c r="C344" s="14" t="s">
        <v>60</v>
      </c>
      <c r="E344" s="19"/>
    </row>
    <row r="345" spans="1:5" ht="13.5">
      <c r="A345" s="1" t="s">
        <v>63</v>
      </c>
      <c r="B345" s="16">
        <v>0</v>
      </c>
      <c r="C345" s="16">
        <v>0</v>
      </c>
      <c r="E345" s="1" t="s">
        <v>64</v>
      </c>
    </row>
    <row r="346" spans="1:5" ht="13.5">
      <c r="A346" s="1" t="s">
        <v>68</v>
      </c>
      <c r="B346" s="16">
        <v>0</v>
      </c>
      <c r="C346" s="16">
        <v>0</v>
      </c>
      <c r="E346" s="1" t="s">
        <v>138</v>
      </c>
    </row>
    <row r="347" spans="1:3" ht="13.5">
      <c r="A347" s="1" t="s">
        <v>73</v>
      </c>
      <c r="B347" s="16">
        <v>0</v>
      </c>
      <c r="C347" s="16">
        <v>0</v>
      </c>
    </row>
    <row r="348" spans="1:3" ht="13.5">
      <c r="A348" s="1" t="s">
        <v>78</v>
      </c>
      <c r="B348" s="16">
        <v>0</v>
      </c>
      <c r="C348" s="16">
        <v>0</v>
      </c>
    </row>
    <row r="349" spans="1:3" ht="13.5">
      <c r="A349" s="1" t="s">
        <v>84</v>
      </c>
      <c r="B349" s="16">
        <v>0</v>
      </c>
      <c r="C349" s="16">
        <v>0</v>
      </c>
    </row>
    <row r="350" spans="1:3" ht="13.5">
      <c r="A350" s="1" t="s">
        <v>88</v>
      </c>
      <c r="B350" s="16">
        <v>0</v>
      </c>
      <c r="C350" s="16">
        <v>0</v>
      </c>
    </row>
    <row r="351" spans="1:3" ht="13.5">
      <c r="A351" s="1" t="s">
        <v>93</v>
      </c>
      <c r="B351" s="16">
        <v>0</v>
      </c>
      <c r="C351" s="16">
        <v>0</v>
      </c>
    </row>
    <row r="352" spans="1:3" ht="13.5">
      <c r="A352" s="1" t="s">
        <v>96</v>
      </c>
      <c r="B352" s="16">
        <v>0</v>
      </c>
      <c r="C352" s="16">
        <v>0</v>
      </c>
    </row>
    <row r="353" spans="1:3" ht="13.5">
      <c r="A353" s="1" t="s">
        <v>103</v>
      </c>
      <c r="B353" s="16">
        <v>0</v>
      </c>
      <c r="C353" s="16">
        <v>0</v>
      </c>
    </row>
    <row r="354" spans="1:3" ht="13.5">
      <c r="A354" s="1" t="s">
        <v>105</v>
      </c>
      <c r="B354" s="16">
        <v>0</v>
      </c>
      <c r="C354" s="16">
        <v>0</v>
      </c>
    </row>
    <row r="355" spans="1:3" ht="13.5">
      <c r="A355" s="1" t="s">
        <v>110</v>
      </c>
      <c r="B355" s="16">
        <v>0</v>
      </c>
      <c r="C355" s="16">
        <v>0</v>
      </c>
    </row>
    <row r="356" spans="1:3" ht="13.5">
      <c r="A356" s="1" t="s">
        <v>115</v>
      </c>
      <c r="B356" s="16">
        <v>0</v>
      </c>
      <c r="C356" s="16">
        <v>0</v>
      </c>
    </row>
    <row r="357" spans="1:3" ht="13.5">
      <c r="A357" s="1" t="s">
        <v>118</v>
      </c>
      <c r="B357" s="15">
        <v>0</v>
      </c>
      <c r="C357" s="6">
        <v>0</v>
      </c>
    </row>
    <row r="359" spans="1:3" ht="13.5">
      <c r="A359" s="14" t="s">
        <v>53</v>
      </c>
      <c r="B359" s="14" t="s">
        <v>173</v>
      </c>
      <c r="C359" s="14" t="s">
        <v>177</v>
      </c>
    </row>
    <row r="360" spans="1:3" ht="13.5">
      <c r="A360" s="1" t="s">
        <v>10</v>
      </c>
      <c r="B360" s="14" t="s">
        <v>177</v>
      </c>
      <c r="C360" s="14" t="s">
        <v>436</v>
      </c>
    </row>
    <row r="361" spans="1:5" ht="13.5">
      <c r="A361" s="1" t="s">
        <v>63</v>
      </c>
      <c r="B361" s="26">
        <v>0</v>
      </c>
      <c r="C361" s="27">
        <v>0</v>
      </c>
      <c r="E361" s="1" t="s">
        <v>64</v>
      </c>
    </row>
    <row r="362" spans="1:5" ht="13.5">
      <c r="A362" s="1" t="s">
        <v>68</v>
      </c>
      <c r="B362" s="26">
        <v>0</v>
      </c>
      <c r="C362" s="27">
        <v>0</v>
      </c>
      <c r="E362" s="1" t="s">
        <v>182</v>
      </c>
    </row>
    <row r="363" spans="1:3" ht="13.5">
      <c r="A363" s="1" t="s">
        <v>73</v>
      </c>
      <c r="B363" s="26">
        <v>0</v>
      </c>
      <c r="C363" s="27">
        <v>0</v>
      </c>
    </row>
    <row r="364" spans="1:3" ht="13.5">
      <c r="A364" s="1" t="s">
        <v>78</v>
      </c>
      <c r="B364" s="26">
        <v>0</v>
      </c>
      <c r="C364" s="27">
        <v>0</v>
      </c>
    </row>
    <row r="365" spans="1:3" ht="13.5">
      <c r="A365" s="1" t="s">
        <v>84</v>
      </c>
      <c r="B365" s="26">
        <v>0</v>
      </c>
      <c r="C365" s="27">
        <v>0</v>
      </c>
    </row>
    <row r="366" spans="1:3" ht="13.5">
      <c r="A366" s="1" t="s">
        <v>88</v>
      </c>
      <c r="B366" s="26">
        <v>0</v>
      </c>
      <c r="C366" s="27">
        <v>0</v>
      </c>
    </row>
    <row r="367" spans="1:3" ht="13.5">
      <c r="A367" s="1" t="s">
        <v>93</v>
      </c>
      <c r="B367" s="26">
        <v>0</v>
      </c>
      <c r="C367" s="27">
        <v>0</v>
      </c>
    </row>
    <row r="368" spans="1:3" ht="13.5">
      <c r="A368" s="1" t="s">
        <v>96</v>
      </c>
      <c r="B368" s="26">
        <v>0</v>
      </c>
      <c r="C368" s="27">
        <v>0</v>
      </c>
    </row>
    <row r="369" spans="1:3" ht="13.5">
      <c r="A369" s="1" t="s">
        <v>103</v>
      </c>
      <c r="B369" s="26">
        <v>0</v>
      </c>
      <c r="C369" s="27">
        <v>0</v>
      </c>
    </row>
    <row r="370" spans="1:3" ht="13.5">
      <c r="A370" s="1" t="s">
        <v>105</v>
      </c>
      <c r="B370" s="26">
        <v>0</v>
      </c>
      <c r="C370" s="27">
        <v>0</v>
      </c>
    </row>
    <row r="371" spans="1:3" ht="13.5">
      <c r="A371" s="1" t="s">
        <v>110</v>
      </c>
      <c r="B371" s="26">
        <v>0</v>
      </c>
      <c r="C371" s="27">
        <v>0</v>
      </c>
    </row>
    <row r="372" spans="1:3" ht="13.5">
      <c r="A372" s="1" t="s">
        <v>115</v>
      </c>
      <c r="B372" s="26">
        <v>0</v>
      </c>
      <c r="C372" s="27">
        <v>0</v>
      </c>
    </row>
    <row r="373" spans="1:3" ht="13.5">
      <c r="A373" s="1" t="s">
        <v>118</v>
      </c>
      <c r="B373" s="24">
        <v>0</v>
      </c>
      <c r="C373" s="6">
        <v>0</v>
      </c>
    </row>
    <row r="375" spans="1:5" ht="13.5">
      <c r="A375" s="1" t="s">
        <v>193</v>
      </c>
      <c r="C375" s="17">
        <v>0</v>
      </c>
      <c r="E375" s="1" t="s">
        <v>194</v>
      </c>
    </row>
    <row r="376" spans="1:5" ht="13.5">
      <c r="A376" s="1" t="s">
        <v>195</v>
      </c>
      <c r="C376" s="17" t="e">
        <f>NA()</f>
        <v>#N/A</v>
      </c>
      <c r="E376" s="1" t="s">
        <v>196</v>
      </c>
    </row>
    <row r="377" spans="1:5" ht="13.5">
      <c r="A377" s="1" t="s">
        <v>197</v>
      </c>
      <c r="C377" s="21">
        <v>0</v>
      </c>
      <c r="E377" s="1" t="s">
        <v>198</v>
      </c>
    </row>
    <row r="378" spans="1:5" ht="13.5">
      <c r="A378" s="1" t="s">
        <v>199</v>
      </c>
      <c r="C378" s="8" t="s">
        <v>431</v>
      </c>
      <c r="E378" s="1" t="s">
        <v>201</v>
      </c>
    </row>
    <row r="379" spans="1:5" ht="13.5">
      <c r="A379" s="1" t="s">
        <v>202</v>
      </c>
      <c r="C379" s="8" t="s">
        <v>431</v>
      </c>
      <c r="E379" s="1" t="s">
        <v>203</v>
      </c>
    </row>
    <row r="380" spans="1:5" ht="13.5">
      <c r="A380" s="1" t="s">
        <v>204</v>
      </c>
      <c r="C380" s="28">
        <v>0</v>
      </c>
      <c r="E380" s="1" t="s">
        <v>205</v>
      </c>
    </row>
    <row r="381" spans="1:5" ht="13.5">
      <c r="A381" s="1" t="s">
        <v>130</v>
      </c>
      <c r="C381" s="28">
        <v>0</v>
      </c>
      <c r="E381" s="1" t="s">
        <v>206</v>
      </c>
    </row>
    <row r="382" spans="1:5" ht="13.5">
      <c r="A382" s="1" t="s">
        <v>207</v>
      </c>
      <c r="C382" s="29">
        <v>0</v>
      </c>
      <c r="E382" s="1" t="s">
        <v>208</v>
      </c>
    </row>
    <row r="383" spans="1:5" ht="13.5">
      <c r="A383" s="1" t="s">
        <v>437</v>
      </c>
      <c r="C383" s="29">
        <v>0</v>
      </c>
      <c r="E383" s="1" t="s">
        <v>210</v>
      </c>
    </row>
    <row r="384" spans="1:5" ht="13.5">
      <c r="A384" s="1" t="s">
        <v>211</v>
      </c>
      <c r="C384" s="30">
        <v>0</v>
      </c>
      <c r="E384" s="1" t="s">
        <v>212</v>
      </c>
    </row>
    <row r="385" spans="1:5" ht="13.5">
      <c r="A385" s="1" t="s">
        <v>213</v>
      </c>
      <c r="C385" s="30">
        <v>0</v>
      </c>
      <c r="E385" s="1" t="s">
        <v>215</v>
      </c>
    </row>
    <row r="386" spans="1:5" ht="13.5">
      <c r="A386" s="1" t="s">
        <v>216</v>
      </c>
      <c r="C386" s="16">
        <v>0</v>
      </c>
      <c r="E386" s="1" t="s">
        <v>217</v>
      </c>
    </row>
    <row r="387" spans="1:5" ht="13.5">
      <c r="A387" s="1" t="s">
        <v>218</v>
      </c>
      <c r="C387" s="16">
        <v>0</v>
      </c>
      <c r="E387" s="1" t="s">
        <v>217</v>
      </c>
    </row>
    <row r="388" spans="1:5" ht="13.5">
      <c r="A388" s="1" t="s">
        <v>219</v>
      </c>
      <c r="C388" s="2">
        <v>0</v>
      </c>
      <c r="E388" s="1" t="s">
        <v>217</v>
      </c>
    </row>
    <row r="389" spans="1:5" ht="13.5">
      <c r="A389" s="1" t="s">
        <v>220</v>
      </c>
      <c r="C389" s="2">
        <v>0</v>
      </c>
      <c r="E389" s="1" t="s">
        <v>221</v>
      </c>
    </row>
    <row r="390" spans="1:5" ht="13.5">
      <c r="A390" s="1" t="s">
        <v>222</v>
      </c>
      <c r="C390" s="25" t="e">
        <f>NA()</f>
        <v>#N/A</v>
      </c>
      <c r="E390" s="1" t="s">
        <v>223</v>
      </c>
    </row>
    <row r="391" spans="1:5" ht="13.5">
      <c r="A391" s="1" t="s">
        <v>224</v>
      </c>
      <c r="C391" s="25" t="e">
        <f>NA()</f>
        <v>#N/A</v>
      </c>
      <c r="E391" s="1" t="s">
        <v>223</v>
      </c>
    </row>
    <row r="392" spans="1:5" ht="13.5">
      <c r="A392" s="1" t="s">
        <v>225</v>
      </c>
      <c r="C392" s="25">
        <v>0</v>
      </c>
      <c r="E392" s="1" t="s">
        <v>226</v>
      </c>
    </row>
    <row r="393" spans="1:5" ht="13.5">
      <c r="A393" s="1" t="s">
        <v>227</v>
      </c>
      <c r="B393" s="2"/>
      <c r="C393" s="5" t="e">
        <f>NA()</f>
        <v>#N/A</v>
      </c>
      <c r="E393" s="1" t="s">
        <v>228</v>
      </c>
    </row>
    <row r="394" spans="1:5" ht="13.5">
      <c r="A394" s="1" t="s">
        <v>229</v>
      </c>
      <c r="B394" s="2"/>
      <c r="C394" s="5" t="e">
        <f>NA()</f>
        <v>#N/A</v>
      </c>
      <c r="E394" s="1" t="s">
        <v>228</v>
      </c>
    </row>
    <row r="395" spans="1:5" ht="13.5">
      <c r="A395" s="1" t="s">
        <v>230</v>
      </c>
      <c r="C395" s="29">
        <v>0</v>
      </c>
      <c r="E395" s="1" t="s">
        <v>231</v>
      </c>
    </row>
    <row r="396" spans="1:5" ht="13.5">
      <c r="A396" s="1" t="s">
        <v>232</v>
      </c>
      <c r="C396" s="29">
        <v>0</v>
      </c>
      <c r="E396" s="1" t="s">
        <v>233</v>
      </c>
    </row>
    <row r="397" spans="1:5" ht="13.5">
      <c r="A397" s="1" t="s">
        <v>234</v>
      </c>
      <c r="C397" s="29">
        <v>0</v>
      </c>
      <c r="E397" s="1" t="s">
        <v>233</v>
      </c>
    </row>
    <row r="398" spans="1:5" ht="13.5">
      <c r="A398" s="1" t="s">
        <v>235</v>
      </c>
      <c r="C398" s="25" t="e">
        <f>NA()</f>
        <v>#N/A</v>
      </c>
      <c r="E398" s="1" t="s">
        <v>236</v>
      </c>
    </row>
    <row r="399" spans="1:5" ht="13.5">
      <c r="A399" s="1" t="s">
        <v>237</v>
      </c>
      <c r="B399" s="11"/>
      <c r="C399" s="15" t="e">
        <f>NA()</f>
        <v>#N/A</v>
      </c>
      <c r="E399" s="1" t="s">
        <v>238</v>
      </c>
    </row>
    <row r="400" spans="1:5" ht="13.5">
      <c r="A400" s="1" t="s">
        <v>239</v>
      </c>
      <c r="C400" s="2">
        <v>0</v>
      </c>
      <c r="E400" s="1" t="s">
        <v>240</v>
      </c>
    </row>
    <row r="401" spans="1:5" ht="13.5">
      <c r="A401" s="1" t="s">
        <v>438</v>
      </c>
      <c r="E401" s="1" t="s">
        <v>241</v>
      </c>
    </row>
    <row r="402" spans="1:5" ht="13.5">
      <c r="A402" s="1" t="s">
        <v>242</v>
      </c>
      <c r="C402" s="13">
        <v>0</v>
      </c>
      <c r="E402" s="1" t="s">
        <v>243</v>
      </c>
    </row>
    <row r="403" spans="1:5" ht="13.5">
      <c r="A403" s="1" t="s">
        <v>244</v>
      </c>
      <c r="C403" s="5">
        <v>0</v>
      </c>
      <c r="E403" s="1" t="s">
        <v>245</v>
      </c>
    </row>
    <row r="404" spans="1:5" ht="13.5">
      <c r="A404" s="1" t="s">
        <v>246</v>
      </c>
      <c r="C404" s="5">
        <v>0</v>
      </c>
      <c r="E404" s="1" t="s">
        <v>247</v>
      </c>
    </row>
    <row r="405" spans="1:5" ht="13.5">
      <c r="A405" s="1" t="s">
        <v>439</v>
      </c>
      <c r="E405" s="1" t="s">
        <v>248</v>
      </c>
    </row>
    <row r="406" spans="1:5" ht="13.5">
      <c r="A406" s="1" t="s">
        <v>249</v>
      </c>
      <c r="C406" s="20" t="e">
        <f>NA()</f>
        <v>#N/A</v>
      </c>
      <c r="E406" s="1" t="s">
        <v>250</v>
      </c>
    </row>
    <row r="407" spans="1:5" ht="13.5">
      <c r="A407" s="1" t="s">
        <v>251</v>
      </c>
      <c r="C407" s="13" t="e">
        <f>NA()</f>
        <v>#N/A</v>
      </c>
      <c r="E407" s="1" t="s">
        <v>252</v>
      </c>
    </row>
    <row r="408" spans="1:5" ht="13.5">
      <c r="A408" s="1" t="s">
        <v>253</v>
      </c>
      <c r="C408" s="28">
        <v>0</v>
      </c>
      <c r="E408" s="1" t="s">
        <v>254</v>
      </c>
    </row>
    <row r="410" ht="13.5">
      <c r="B410" s="1" t="s">
        <v>255</v>
      </c>
    </row>
    <row r="412" spans="1:5" ht="13.5">
      <c r="A412" s="1" t="s">
        <v>256</v>
      </c>
      <c r="C412" s="27">
        <v>0</v>
      </c>
      <c r="E412" s="1" t="s">
        <v>257</v>
      </c>
    </row>
    <row r="413" spans="1:5" ht="13.5">
      <c r="A413" s="1" t="s">
        <v>258</v>
      </c>
      <c r="C413" s="27">
        <v>0</v>
      </c>
      <c r="E413" s="1" t="s">
        <v>259</v>
      </c>
    </row>
    <row r="414" spans="1:3" ht="13.5">
      <c r="A414" s="1" t="s">
        <v>440</v>
      </c>
      <c r="C414" s="27">
        <v>0</v>
      </c>
    </row>
    <row r="415" spans="1:3" ht="13.5">
      <c r="A415" s="1" t="s">
        <v>441</v>
      </c>
      <c r="C415" s="27">
        <v>0</v>
      </c>
    </row>
    <row r="416" spans="1:3" ht="13.5">
      <c r="A416" s="1" t="s">
        <v>263</v>
      </c>
      <c r="C416" s="27">
        <v>0</v>
      </c>
    </row>
    <row r="417" spans="1:3" ht="13.5">
      <c r="A417" s="1" t="s">
        <v>264</v>
      </c>
      <c r="C417" s="27">
        <v>0</v>
      </c>
    </row>
    <row r="418" spans="1:3" ht="13.5">
      <c r="A418" s="1" t="s">
        <v>265</v>
      </c>
      <c r="C418" s="27">
        <v>0</v>
      </c>
    </row>
    <row r="419" spans="1:3" ht="13.5">
      <c r="A419" s="1" t="s">
        <v>266</v>
      </c>
      <c r="C419" s="27">
        <v>0</v>
      </c>
    </row>
    <row r="420" spans="1:3" ht="13.5">
      <c r="A420" s="1" t="s">
        <v>267</v>
      </c>
      <c r="C420" s="27">
        <v>0</v>
      </c>
    </row>
    <row r="421" spans="1:3" ht="13.5">
      <c r="A421" s="1" t="s">
        <v>268</v>
      </c>
      <c r="C421" s="27">
        <v>0</v>
      </c>
    </row>
    <row r="422" spans="1:3" ht="13.5">
      <c r="A422" s="1" t="s">
        <v>442</v>
      </c>
      <c r="C422" s="27">
        <v>0</v>
      </c>
    </row>
    <row r="423" spans="1:3" ht="13.5">
      <c r="A423" s="1" t="s">
        <v>443</v>
      </c>
      <c r="C423" s="27">
        <v>0</v>
      </c>
    </row>
    <row r="424" spans="1:3" ht="13.5">
      <c r="A424" s="1" t="s">
        <v>271</v>
      </c>
      <c r="C424" s="27">
        <v>0</v>
      </c>
    </row>
    <row r="425" spans="1:3" ht="13.5">
      <c r="A425" s="1" t="s">
        <v>444</v>
      </c>
      <c r="C425" s="27">
        <v>0</v>
      </c>
    </row>
    <row r="426" ht="13.5">
      <c r="C426" s="3" t="s">
        <v>4</v>
      </c>
    </row>
    <row r="427" spans="1:3" ht="13.5">
      <c r="A427" s="1" t="s">
        <v>274</v>
      </c>
      <c r="C427" s="6">
        <v>0</v>
      </c>
    </row>
    <row r="429" spans="1:5" ht="13.5">
      <c r="A429" s="1" t="s">
        <v>275</v>
      </c>
      <c r="C429" s="32">
        <v>0</v>
      </c>
      <c r="E429" s="1" t="s">
        <v>276</v>
      </c>
    </row>
    <row r="430" spans="1:3" ht="13.5">
      <c r="A430" s="1" t="s">
        <v>277</v>
      </c>
      <c r="C430" s="21">
        <v>0</v>
      </c>
    </row>
    <row r="431" spans="1:3" ht="13.5">
      <c r="A431" s="1" t="s">
        <v>278</v>
      </c>
      <c r="C431" s="32">
        <v>0</v>
      </c>
    </row>
    <row r="432" spans="1:3" ht="13.5">
      <c r="A432" s="1" t="s">
        <v>279</v>
      </c>
      <c r="C432" s="21">
        <v>0</v>
      </c>
    </row>
    <row r="433" ht="13.5">
      <c r="C433" s="3" t="s">
        <v>4</v>
      </c>
    </row>
    <row r="434" spans="1:5" ht="13.5">
      <c r="A434" s="1" t="s">
        <v>280</v>
      </c>
      <c r="C434" s="21">
        <v>0</v>
      </c>
      <c r="E434" s="1" t="s">
        <v>281</v>
      </c>
    </row>
    <row r="435" ht="13.5">
      <c r="E435" s="1" t="s">
        <v>282</v>
      </c>
    </row>
    <row r="436" ht="13.5">
      <c r="B436" s="1" t="s">
        <v>283</v>
      </c>
    </row>
    <row r="438" spans="1:5" ht="13.5">
      <c r="A438" s="1" t="s">
        <v>284</v>
      </c>
      <c r="C438" s="27">
        <v>0</v>
      </c>
      <c r="E438" s="1" t="s">
        <v>285</v>
      </c>
    </row>
    <row r="439" spans="1:3" ht="13.5">
      <c r="A439" s="1" t="s">
        <v>286</v>
      </c>
      <c r="C439" s="27">
        <v>0</v>
      </c>
    </row>
    <row r="440" spans="1:3" ht="13.5">
      <c r="A440" s="1" t="s">
        <v>287</v>
      </c>
      <c r="C440" s="27">
        <v>0</v>
      </c>
    </row>
    <row r="441" spans="1:3" ht="13.5">
      <c r="A441" s="1" t="s">
        <v>288</v>
      </c>
      <c r="C441" s="27">
        <v>0</v>
      </c>
    </row>
    <row r="442" spans="1:3" ht="13.5">
      <c r="A442" s="1" t="s">
        <v>289</v>
      </c>
      <c r="C442" s="27">
        <v>0</v>
      </c>
    </row>
    <row r="443" spans="1:3" ht="13.5">
      <c r="A443" s="1" t="s">
        <v>290</v>
      </c>
      <c r="C443" s="27">
        <v>0</v>
      </c>
    </row>
    <row r="444" spans="1:3" ht="13.5">
      <c r="A444" s="1" t="s">
        <v>445</v>
      </c>
      <c r="C444" s="27">
        <v>0</v>
      </c>
    </row>
    <row r="445" spans="1:3" ht="13.5">
      <c r="A445" s="1" t="s">
        <v>446</v>
      </c>
      <c r="C445" s="27">
        <v>0</v>
      </c>
    </row>
    <row r="446" ht="13.5">
      <c r="C446" s="3" t="s">
        <v>4</v>
      </c>
    </row>
    <row r="447" spans="1:3" ht="13.5">
      <c r="A447" s="1" t="s">
        <v>293</v>
      </c>
      <c r="C447" s="6">
        <v>0</v>
      </c>
    </row>
    <row r="449" spans="1:3" ht="13.5">
      <c r="A449" s="1" t="s">
        <v>447</v>
      </c>
      <c r="C449" s="6">
        <v>0</v>
      </c>
    </row>
    <row r="450" spans="1:5" ht="13.5">
      <c r="A450" s="1" t="s">
        <v>295</v>
      </c>
      <c r="C450" s="27">
        <v>0</v>
      </c>
      <c r="E450" s="1" t="s">
        <v>296</v>
      </c>
    </row>
    <row r="451" spans="1:5" ht="13.5">
      <c r="A451" s="1" t="s">
        <v>448</v>
      </c>
      <c r="C451" s="27">
        <v>0</v>
      </c>
      <c r="E451" s="1" t="s">
        <v>297</v>
      </c>
    </row>
    <row r="452" ht="13.5">
      <c r="C452" s="3" t="s">
        <v>4</v>
      </c>
    </row>
    <row r="453" spans="1:5" ht="13.5">
      <c r="A453" s="1" t="s">
        <v>298</v>
      </c>
      <c r="C453" s="6">
        <v>0</v>
      </c>
      <c r="E453" s="1" t="s">
        <v>299</v>
      </c>
    </row>
    <row r="454" spans="1:5" ht="13.5">
      <c r="A454" s="1" t="s">
        <v>300</v>
      </c>
      <c r="C454" s="25" t="e">
        <f>NA()</f>
        <v>#N/A</v>
      </c>
      <c r="E454" s="1" t="s">
        <v>301</v>
      </c>
    </row>
    <row r="455" spans="1:5" ht="13.5">
      <c r="A455" s="1" t="s">
        <v>302</v>
      </c>
      <c r="C455" s="32">
        <v>0</v>
      </c>
      <c r="E455" s="1" t="s">
        <v>303</v>
      </c>
    </row>
    <row r="456" spans="1:5" ht="13.5">
      <c r="A456" s="1" t="s">
        <v>304</v>
      </c>
      <c r="C456" s="2">
        <v>0</v>
      </c>
      <c r="E456" s="1" t="s">
        <v>305</v>
      </c>
    </row>
    <row r="457" spans="1:5" ht="13.5">
      <c r="A457" s="1" t="s">
        <v>306</v>
      </c>
      <c r="C457" s="6" t="e">
        <f>NA()</f>
        <v>#N/A</v>
      </c>
      <c r="E457" s="1" t="s">
        <v>307</v>
      </c>
    </row>
    <row r="458" spans="1:5" ht="13.5">
      <c r="A458" s="1" t="s">
        <v>308</v>
      </c>
      <c r="C458" s="20">
        <v>0.3</v>
      </c>
      <c r="E458" s="1" t="s">
        <v>309</v>
      </c>
    </row>
    <row r="459" spans="1:5" ht="13.5">
      <c r="A459" s="1" t="s">
        <v>310</v>
      </c>
      <c r="C459" s="6" t="e">
        <f>NA()</f>
        <v>#N/A</v>
      </c>
      <c r="E459" s="1" t="s">
        <v>311</v>
      </c>
    </row>
    <row r="460" spans="1:5" ht="13.5">
      <c r="A460" s="1" t="s">
        <v>312</v>
      </c>
      <c r="C460" s="6" t="e">
        <f>NA()</f>
        <v>#N/A</v>
      </c>
      <c r="E460" s="1" t="s">
        <v>313</v>
      </c>
    </row>
    <row r="461" spans="1:5" ht="13.5">
      <c r="A461" s="1" t="s">
        <v>314</v>
      </c>
      <c r="C461" s="6" t="e">
        <f>NA()</f>
        <v>#N/A</v>
      </c>
      <c r="E461" s="1" t="s">
        <v>315</v>
      </c>
    </row>
    <row r="462" spans="1:5" ht="13.5">
      <c r="A462" s="1" t="s">
        <v>312</v>
      </c>
      <c r="C462" s="6" t="e">
        <f>NA()</f>
        <v>#N/A</v>
      </c>
      <c r="E462" s="1" t="s">
        <v>313</v>
      </c>
    </row>
    <row r="463" spans="1:5" ht="13.5">
      <c r="A463" s="1" t="s">
        <v>316</v>
      </c>
      <c r="C463" s="8" t="s">
        <v>431</v>
      </c>
      <c r="E463" s="1" t="s">
        <v>317</v>
      </c>
    </row>
    <row r="465" ht="13.5">
      <c r="B465" s="1" t="s">
        <v>318</v>
      </c>
    </row>
    <row r="466" spans="1:5" ht="13.5">
      <c r="A466" s="1" t="s">
        <v>319</v>
      </c>
      <c r="C466" s="2">
        <v>918</v>
      </c>
      <c r="E466" s="1" t="s">
        <v>320</v>
      </c>
    </row>
    <row r="467" spans="1:5" ht="13.5">
      <c r="A467" s="1" t="s">
        <v>321</v>
      </c>
      <c r="C467" s="8" t="s">
        <v>322</v>
      </c>
      <c r="E467" s="1" t="s">
        <v>323</v>
      </c>
    </row>
    <row r="468" spans="1:5" ht="13.5">
      <c r="A468" s="1" t="s">
        <v>324</v>
      </c>
      <c r="C468" s="2">
        <v>0</v>
      </c>
      <c r="E468" s="1" t="s">
        <v>325</v>
      </c>
    </row>
    <row r="469" spans="1:5" ht="13.5">
      <c r="A469" s="1" t="s">
        <v>326</v>
      </c>
      <c r="C469" s="8" t="s">
        <v>10</v>
      </c>
      <c r="E469" s="1" t="s">
        <v>327</v>
      </c>
    </row>
    <row r="471" ht="13.5">
      <c r="C471" s="6"/>
    </row>
    <row r="472" spans="1:4" ht="13.5">
      <c r="A472" s="1" t="s">
        <v>328</v>
      </c>
      <c r="B472" s="2"/>
      <c r="C472" s="2"/>
      <c r="D472" s="2"/>
    </row>
    <row r="473" ht="13.5">
      <c r="A473" s="1" t="s">
        <v>329</v>
      </c>
    </row>
    <row r="474" ht="13.5">
      <c r="A474" s="1" t="s">
        <v>330</v>
      </c>
    </row>
    <row r="475" ht="13.5">
      <c r="A475" s="1" t="s">
        <v>331</v>
      </c>
    </row>
    <row r="477" ht="13.5">
      <c r="A477" s="1" t="s">
        <v>332</v>
      </c>
    </row>
    <row r="478" ht="13.5">
      <c r="A478" s="1" t="s">
        <v>333</v>
      </c>
    </row>
    <row r="479" ht="13.5">
      <c r="A479" s="1" t="s">
        <v>334</v>
      </c>
    </row>
    <row r="480" ht="13.5">
      <c r="A480" s="1" t="s">
        <v>335</v>
      </c>
    </row>
    <row r="482" ht="13.5">
      <c r="A482" s="1" t="s">
        <v>336</v>
      </c>
    </row>
    <row r="483" ht="13.5">
      <c r="A483" s="1" t="s">
        <v>337</v>
      </c>
    </row>
    <row r="484" ht="13.5">
      <c r="A484" s="1" t="s">
        <v>338</v>
      </c>
    </row>
    <row r="485" ht="13.5">
      <c r="A485" s="1" t="s">
        <v>339</v>
      </c>
    </row>
    <row r="486" spans="2:4" ht="13.5">
      <c r="B486" s="2"/>
      <c r="C486" s="2"/>
      <c r="D486" s="2"/>
    </row>
    <row r="487" spans="1:4" ht="13.5">
      <c r="A487" s="1" t="s">
        <v>340</v>
      </c>
      <c r="B487" s="2"/>
      <c r="C487" s="2"/>
      <c r="D487" s="2"/>
    </row>
    <row r="488" spans="1:4" ht="13.5">
      <c r="A488" s="1" t="s">
        <v>341</v>
      </c>
      <c r="B488" s="2"/>
      <c r="C488" s="2"/>
      <c r="D488" s="2"/>
    </row>
    <row r="489" spans="1:4" ht="13.5">
      <c r="A489" s="1" t="s">
        <v>342</v>
      </c>
      <c r="B489" s="2"/>
      <c r="C489" s="2"/>
      <c r="D489" s="2"/>
    </row>
    <row r="490" spans="2:4" ht="13.5">
      <c r="B490" s="2"/>
      <c r="C490" s="2"/>
      <c r="D490" s="2"/>
    </row>
    <row r="491" spans="1:4" ht="13.5">
      <c r="A491" s="1" t="s">
        <v>343</v>
      </c>
      <c r="B491" s="2"/>
      <c r="C491" s="2"/>
      <c r="D491" s="2"/>
    </row>
    <row r="492" spans="1:4" ht="13.5">
      <c r="A492" s="1" t="s">
        <v>344</v>
      </c>
      <c r="B492" s="2"/>
      <c r="C492" s="2"/>
      <c r="D492" s="2"/>
    </row>
    <row r="493" spans="2:4" ht="13.5">
      <c r="B493" s="2"/>
      <c r="C493" s="2"/>
      <c r="D493" s="2"/>
    </row>
    <row r="494" spans="1:4" ht="13.5">
      <c r="A494" s="1" t="s">
        <v>345</v>
      </c>
      <c r="B494" s="2"/>
      <c r="C494" s="2"/>
      <c r="D494" s="2"/>
    </row>
    <row r="495" spans="1:4" ht="13.5">
      <c r="A495" s="1" t="s">
        <v>346</v>
      </c>
      <c r="B495" s="2"/>
      <c r="C495" s="2"/>
      <c r="D495" s="2"/>
    </row>
    <row r="496" spans="1:4" ht="13.5">
      <c r="A496" s="1" t="s">
        <v>347</v>
      </c>
      <c r="B496" s="2"/>
      <c r="C496" s="2"/>
      <c r="D496" s="2"/>
    </row>
    <row r="497" spans="1:4" ht="13.5">
      <c r="A497" s="1" t="s">
        <v>348</v>
      </c>
      <c r="B497" s="2"/>
      <c r="C497" s="2"/>
      <c r="D497" s="2"/>
    </row>
    <row r="498" spans="1:4" ht="13.5">
      <c r="A498" s="1" t="s">
        <v>349</v>
      </c>
      <c r="B498" s="2"/>
      <c r="C498" s="2"/>
      <c r="D498" s="2"/>
    </row>
    <row r="499" spans="2:4" ht="13.5">
      <c r="B499" s="2"/>
      <c r="C499" s="2"/>
      <c r="D499" s="2"/>
    </row>
    <row r="500" spans="1:4" ht="13.5">
      <c r="A500" s="1" t="s">
        <v>350</v>
      </c>
      <c r="B500" s="2"/>
      <c r="C500" s="2"/>
      <c r="D500" s="2"/>
    </row>
    <row r="501" spans="1:4" ht="13.5">
      <c r="A501" s="1" t="s">
        <v>351</v>
      </c>
      <c r="B501" s="2"/>
      <c r="C501" s="2"/>
      <c r="D501" s="2"/>
    </row>
    <row r="502" spans="2:4" ht="13.5">
      <c r="B502" s="2"/>
      <c r="C502" s="2"/>
      <c r="D502" s="2"/>
    </row>
    <row r="503" spans="1:4" ht="13.5">
      <c r="A503" s="1" t="s">
        <v>352</v>
      </c>
      <c r="B503" s="2"/>
      <c r="C503" s="2"/>
      <c r="D503" s="2"/>
    </row>
    <row r="504" spans="1:4" ht="13.5">
      <c r="A504" s="1" t="s">
        <v>353</v>
      </c>
      <c r="B504" s="2"/>
      <c r="C504" s="2"/>
      <c r="D504" s="2"/>
    </row>
    <row r="505" spans="1:4" ht="13.5">
      <c r="A505" s="1" t="s">
        <v>354</v>
      </c>
      <c r="B505" s="2"/>
      <c r="C505" s="2"/>
      <c r="D505" s="2"/>
    </row>
    <row r="506" spans="2:4" ht="13.5">
      <c r="B506" s="2"/>
      <c r="C506" s="2"/>
      <c r="D506" s="2"/>
    </row>
    <row r="507" spans="2:4" ht="13.5">
      <c r="B507" s="2"/>
      <c r="C507" s="2"/>
      <c r="D507" s="2"/>
    </row>
    <row r="508" spans="2:4" ht="13.5">
      <c r="B508" s="2"/>
      <c r="C508" s="2"/>
      <c r="D508" s="2"/>
    </row>
    <row r="525" ht="13.5">
      <c r="A525" s="6"/>
    </row>
    <row r="526" ht="13.5">
      <c r="A526" s="1" t="s">
        <v>355</v>
      </c>
    </row>
    <row r="527" ht="13.5">
      <c r="A527" s="1" t="s">
        <v>356</v>
      </c>
    </row>
    <row r="529" spans="2:4" ht="13.5">
      <c r="B529" s="1" t="s">
        <v>357</v>
      </c>
      <c r="D529" s="5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7">
      <selection activeCell="A1" sqref="A1"/>
    </sheetView>
  </sheetViews>
  <sheetFormatPr defaultColWidth="10.75390625" defaultRowHeight="13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0.75390625" defaultRowHeight="13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D1">
      <selection activeCell="M25" sqref="M25:N25"/>
    </sheetView>
  </sheetViews>
  <sheetFormatPr defaultColWidth="10.75390625" defaultRowHeight="13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Philippa Jefferies</dc:creator>
  <cp:keywords/>
  <dc:description/>
  <cp:lastModifiedBy>Philippa Jefferies</cp:lastModifiedBy>
  <dcterms:created xsi:type="dcterms:W3CDTF">2021-04-29T13:41:03Z</dcterms:created>
  <dcterms:modified xsi:type="dcterms:W3CDTF">2021-05-13T07:44:53Z</dcterms:modified>
  <cp:category/>
  <cp:version/>
  <cp:contentType/>
  <cp:contentStatus/>
</cp:coreProperties>
</file>